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3"/>
  <workbookPr/>
  <mc:AlternateContent xmlns:mc="http://schemas.openxmlformats.org/markup-compatibility/2006">
    <mc:Choice Requires="x15">
      <x15ac:absPath xmlns:x15ac="http://schemas.microsoft.com/office/spreadsheetml/2010/11/ac" url="/Users/martyresm/Documents/"/>
    </mc:Choice>
  </mc:AlternateContent>
  <xr:revisionPtr revIDLastSave="0" documentId="13_ncr:1_{98A98ED6-6415-B941-95CD-C3191120C850}" xr6:coauthVersionLast="47" xr6:coauthVersionMax="47" xr10:uidLastSave="{00000000-0000-0000-0000-000000000000}"/>
  <bookViews>
    <workbookView xWindow="28800" yWindow="500" windowWidth="38400" windowHeight="19400" tabRatio="849" xr2:uid="{00000000-000D-0000-FFFF-FFFF00000000}"/>
  </bookViews>
  <sheets>
    <sheet name="Introduction" sheetId="52" r:id="rId1"/>
    <sheet name="Scopes of Emissions" sheetId="43" r:id="rId2"/>
    <sheet name="Definitions" sheetId="41" r:id="rId3"/>
    <sheet name="Factors" sheetId="38" r:id="rId4"/>
    <sheet name="GHGI-Scope 1" sheetId="39" r:id="rId5"/>
    <sheet name="GHGI-Scope 2,3 and TOTAL" sheetId="42" r:id="rId6"/>
    <sheet name="Nat Gas" sheetId="35" r:id="rId7"/>
    <sheet name="Nat Gas per student" sheetId="44" r:id="rId8"/>
    <sheet name="Nat Gas per SF" sheetId="45" r:id="rId9"/>
    <sheet name="Electricity_Grid" sheetId="32" r:id="rId10"/>
    <sheet name="Electricity per student" sheetId="47" r:id="rId11"/>
    <sheet name="Electricity per SF" sheetId="48" r:id="rId12"/>
    <sheet name="Electricity_Solar" sheetId="33" r:id="rId13"/>
    <sheet name="Water" sheetId="40" r:id="rId14"/>
    <sheet name="Water per student" sheetId="49" r:id="rId15"/>
    <sheet name="Water per SF" sheetId="50" r:id="rId16"/>
    <sheet name="Total MT CO2eq" sheetId="53" r:id="rId17"/>
    <sheet name="MT CO2eq per student" sheetId="55" r:id="rId18"/>
    <sheet name="MTCO2eq per SF" sheetId="54" r:id="rId19"/>
    <sheet name="Transportation" sheetId="31" r:id="rId20"/>
    <sheet name="Site Sequestration" sheetId="29" r:id="rId21"/>
    <sheet name="Waste" sheetId="34" r:id="rId22"/>
    <sheet name="Enrollment" sheetId="46" r:id="rId23"/>
    <sheet name="SF" sheetId="51" r:id="rId24"/>
  </sheets>
  <externalReferences>
    <externalReference r:id="rId25"/>
  </externalReferences>
  <definedNames>
    <definedName name="kg_to_MT">'[1]Conversion Factors'!$C$23</definedName>
    <definedName name="lb_to_MT">'[1]Conversion Factors'!$C$21</definedName>
    <definedName name="M_to_k">'[1]Conversion Factors'!$C$15</definedName>
    <definedName name="_xlnm.Print_Area" localSheetId="2">Definitions!$B$2:$C$12</definedName>
    <definedName name="_xlnm.Print_Area" localSheetId="11">'Electricity per SF'!$B$2:$U$38</definedName>
    <definedName name="_xlnm.Print_Area" localSheetId="10">'Electricity per student'!$B$2:$U$38</definedName>
    <definedName name="_xlnm.Print_Area" localSheetId="9">Electricity_Grid!$B$2:$U$42</definedName>
    <definedName name="_xlnm.Print_Area" localSheetId="12">Electricity_Solar!$A$1:$H$23</definedName>
    <definedName name="_xlnm.Print_Area" localSheetId="22">Enrollment!$B$2:$U$38</definedName>
    <definedName name="_xlnm.Print_Area" localSheetId="3">Factors!$B$2:$D$27</definedName>
    <definedName name="_xlnm.Print_Area" localSheetId="4">'GHGI-Scope 1'!$B$2:$Q$37</definedName>
    <definedName name="_xlnm.Print_Area" localSheetId="5">'GHGI-Scope 2,3 and TOTAL'!$A$1:$R$37</definedName>
    <definedName name="_xlnm.Print_Area" localSheetId="17">'MT CO2eq per student'!$B$2:$U$38</definedName>
    <definedName name="_xlnm.Print_Area" localSheetId="18">'MTCO2eq per SF'!$B$2:$U$38</definedName>
    <definedName name="_xlnm.Print_Area" localSheetId="6">'Nat Gas'!$B$2:$U$42</definedName>
    <definedName name="_xlnm.Print_Area" localSheetId="8">'Nat Gas per SF'!$B$2:$W$39</definedName>
    <definedName name="_xlnm.Print_Area" localSheetId="7">'Nat Gas per student'!$B$2:$U$39</definedName>
    <definedName name="_xlnm.Print_Area" localSheetId="1">'Scopes of Emissions'!$B$2:$B$37</definedName>
    <definedName name="_xlnm.Print_Area" localSheetId="23">SF!$A$1:$V$39</definedName>
    <definedName name="_xlnm.Print_Area" localSheetId="20">'Site Sequestration'!$B$2:$N$43</definedName>
    <definedName name="_xlnm.Print_Area" localSheetId="16">'Total MT CO2eq'!$B$2:$U$39</definedName>
    <definedName name="_xlnm.Print_Area" localSheetId="19">Transportation!$B$2:$T$19</definedName>
    <definedName name="_xlnm.Print_Area" localSheetId="21">Waste!$B$2:$O$39</definedName>
    <definedName name="_xlnm.Print_Area" localSheetId="13">Water!$B$2:$U$41</definedName>
    <definedName name="_xlnm.Print_Area" localSheetId="15">'Water per SF'!$B$2:$U$38</definedName>
    <definedName name="_xlnm.Print_Area" localSheetId="14">'Water per student'!$B$2:$U$38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47" i="35" l="1"/>
  <c r="U39" i="53"/>
  <c r="T18" i="31"/>
  <c r="T14" i="31"/>
  <c r="T10" i="31"/>
  <c r="T9" i="31"/>
  <c r="T8" i="31"/>
  <c r="U41" i="32"/>
  <c r="U40" i="32"/>
  <c r="P16" i="42"/>
  <c r="P17" i="42" s="1"/>
  <c r="K39" i="40"/>
  <c r="L39" i="40"/>
  <c r="M39" i="40"/>
  <c r="N39" i="40"/>
  <c r="O39" i="40"/>
  <c r="P39" i="40"/>
  <c r="Q39" i="40"/>
  <c r="R39" i="40"/>
  <c r="S39" i="40"/>
  <c r="T39" i="40"/>
  <c r="J39" i="40"/>
  <c r="I39" i="40"/>
  <c r="H39" i="40"/>
  <c r="P12" i="42"/>
  <c r="P14" i="42" s="1"/>
  <c r="P19" i="42" s="1"/>
  <c r="P27" i="39"/>
  <c r="P28" i="39" s="1"/>
  <c r="P24" i="39"/>
  <c r="P25" i="39" s="1"/>
  <c r="P21" i="39"/>
  <c r="P19" i="39"/>
  <c r="P20" i="39" s="1"/>
  <c r="P18" i="39"/>
  <c r="U30" i="35"/>
  <c r="U30" i="44" s="1"/>
  <c r="U28" i="35"/>
  <c r="U28" i="44" s="1"/>
  <c r="U27" i="35"/>
  <c r="U27" i="44" s="1"/>
  <c r="P10" i="39"/>
  <c r="T7" i="31"/>
  <c r="U6" i="55"/>
  <c r="U7" i="55"/>
  <c r="U8" i="55"/>
  <c r="U9" i="55"/>
  <c r="U10" i="55"/>
  <c r="U11" i="55"/>
  <c r="U12" i="55"/>
  <c r="U14" i="55"/>
  <c r="U15" i="55"/>
  <c r="U16" i="55"/>
  <c r="U17" i="55"/>
  <c r="U18" i="55"/>
  <c r="U19" i="55"/>
  <c r="U20" i="55"/>
  <c r="U21" i="55"/>
  <c r="U22" i="55"/>
  <c r="U23" i="55"/>
  <c r="U24" i="55"/>
  <c r="U25" i="55"/>
  <c r="U27" i="55"/>
  <c r="U28" i="55"/>
  <c r="U29" i="55"/>
  <c r="U30" i="55"/>
  <c r="U31" i="55"/>
  <c r="U32" i="55"/>
  <c r="U33" i="55"/>
  <c r="U34" i="55"/>
  <c r="U35" i="55"/>
  <c r="U36" i="55"/>
  <c r="U5" i="55"/>
  <c r="U4" i="55"/>
  <c r="U29" i="49"/>
  <c r="U11" i="40"/>
  <c r="U39" i="40" s="1"/>
  <c r="P26" i="42" s="1"/>
  <c r="P27" i="42" s="1"/>
  <c r="U16" i="44"/>
  <c r="U18" i="44"/>
  <c r="U19" i="44"/>
  <c r="U20" i="44"/>
  <c r="U21" i="44"/>
  <c r="U22" i="44"/>
  <c r="U23" i="44"/>
  <c r="U24" i="44"/>
  <c r="U25" i="44"/>
  <c r="U29" i="44"/>
  <c r="U31" i="44"/>
  <c r="U32" i="44"/>
  <c r="U33" i="44"/>
  <c r="U34" i="44"/>
  <c r="U35" i="44"/>
  <c r="U36" i="44"/>
  <c r="U15" i="44"/>
  <c r="U14" i="44"/>
  <c r="U6" i="44"/>
  <c r="U7" i="44"/>
  <c r="U8" i="44"/>
  <c r="U9" i="44"/>
  <c r="U10" i="44"/>
  <c r="U11" i="44"/>
  <c r="U12" i="44"/>
  <c r="U5" i="44"/>
  <c r="U4" i="44"/>
  <c r="U36" i="47"/>
  <c r="U29" i="47"/>
  <c r="U30" i="47"/>
  <c r="U31" i="47"/>
  <c r="U32" i="47"/>
  <c r="U33" i="47"/>
  <c r="U34" i="47"/>
  <c r="U35" i="47"/>
  <c r="U28" i="47"/>
  <c r="U27" i="47"/>
  <c r="U16" i="47"/>
  <c r="U17" i="47"/>
  <c r="U18" i="47"/>
  <c r="U19" i="47"/>
  <c r="U20" i="47"/>
  <c r="U21" i="47"/>
  <c r="U22" i="47"/>
  <c r="U23" i="47"/>
  <c r="U24" i="47"/>
  <c r="U25" i="47"/>
  <c r="U15" i="47"/>
  <c r="U14" i="47"/>
  <c r="U6" i="47"/>
  <c r="U7" i="47"/>
  <c r="U8" i="47"/>
  <c r="U9" i="47"/>
  <c r="U10" i="47"/>
  <c r="U11" i="47"/>
  <c r="U12" i="47"/>
  <c r="U5" i="47"/>
  <c r="U4" i="47"/>
  <c r="U38" i="35"/>
  <c r="P21" i="42" l="1"/>
  <c r="P20" i="42"/>
  <c r="P28" i="42"/>
  <c r="P29" i="42" s="1"/>
  <c r="U28" i="32" l="1"/>
  <c r="U10" i="32"/>
  <c r="G16" i="33" l="1"/>
  <c r="G15" i="33"/>
  <c r="S17" i="35"/>
  <c r="U17" i="35" s="1"/>
  <c r="U17" i="44" s="1"/>
  <c r="U29" i="50"/>
  <c r="U4" i="49"/>
  <c r="U3" i="53" l="1"/>
  <c r="U3" i="54" l="1"/>
  <c r="U4" i="54"/>
  <c r="U5" i="54"/>
  <c r="U6" i="54"/>
  <c r="U7" i="54"/>
  <c r="U8" i="54"/>
  <c r="U9" i="54"/>
  <c r="U10" i="54"/>
  <c r="U11" i="54"/>
  <c r="U12" i="54"/>
  <c r="U13" i="54"/>
  <c r="U14" i="54"/>
  <c r="U15" i="54"/>
  <c r="U16" i="54"/>
  <c r="U17" i="54"/>
  <c r="U18" i="54"/>
  <c r="U19" i="54"/>
  <c r="U20" i="54"/>
  <c r="U21" i="54"/>
  <c r="U22" i="54"/>
  <c r="U23" i="54"/>
  <c r="U24" i="54"/>
  <c r="U25" i="54"/>
  <c r="U27" i="54"/>
  <c r="U28" i="54"/>
  <c r="U29" i="54"/>
  <c r="U30" i="54"/>
  <c r="U31" i="54"/>
  <c r="U32" i="54"/>
  <c r="U33" i="54"/>
  <c r="U34" i="54"/>
  <c r="U35" i="54"/>
  <c r="U36" i="54"/>
  <c r="U37" i="54"/>
  <c r="U38" i="54"/>
  <c r="U4" i="50"/>
  <c r="U5" i="50"/>
  <c r="U6" i="50"/>
  <c r="U7" i="50"/>
  <c r="U8" i="50"/>
  <c r="U9" i="50"/>
  <c r="U10" i="50"/>
  <c r="U11" i="50"/>
  <c r="U12" i="50"/>
  <c r="U14" i="50"/>
  <c r="U15" i="50"/>
  <c r="U16" i="50"/>
  <c r="U17" i="50"/>
  <c r="U18" i="50"/>
  <c r="U19" i="50"/>
  <c r="U20" i="50"/>
  <c r="U21" i="50"/>
  <c r="U22" i="50"/>
  <c r="U23" i="50"/>
  <c r="U24" i="50"/>
  <c r="U25" i="50"/>
  <c r="U27" i="50"/>
  <c r="U28" i="50"/>
  <c r="U30" i="50"/>
  <c r="U31" i="50"/>
  <c r="U32" i="50"/>
  <c r="U33" i="50"/>
  <c r="U34" i="50"/>
  <c r="U35" i="50"/>
  <c r="U36" i="50"/>
  <c r="U37" i="50"/>
  <c r="U38" i="50"/>
  <c r="U5" i="49"/>
  <c r="U6" i="49"/>
  <c r="U7" i="49"/>
  <c r="U8" i="49"/>
  <c r="U9" i="49"/>
  <c r="U10" i="49"/>
  <c r="U11" i="49"/>
  <c r="U12" i="49"/>
  <c r="U14" i="49"/>
  <c r="U15" i="49"/>
  <c r="U16" i="49"/>
  <c r="U17" i="49"/>
  <c r="U18" i="49"/>
  <c r="U19" i="49"/>
  <c r="U20" i="49"/>
  <c r="U21" i="49"/>
  <c r="U22" i="49"/>
  <c r="U23" i="49"/>
  <c r="U24" i="49"/>
  <c r="U25" i="49"/>
  <c r="U27" i="49"/>
  <c r="U28" i="49"/>
  <c r="U30" i="49"/>
  <c r="U31" i="49"/>
  <c r="U32" i="49"/>
  <c r="U33" i="49"/>
  <c r="U34" i="49"/>
  <c r="U35" i="49"/>
  <c r="U36" i="49"/>
  <c r="U36" i="48"/>
  <c r="U37" i="48"/>
  <c r="U38" i="48"/>
  <c r="U7" i="48"/>
  <c r="U8" i="48"/>
  <c r="U9" i="48"/>
  <c r="U10" i="48"/>
  <c r="U11" i="48"/>
  <c r="U12" i="48"/>
  <c r="U13" i="48"/>
  <c r="U14" i="48"/>
  <c r="U15" i="48"/>
  <c r="U16" i="48"/>
  <c r="U17" i="48"/>
  <c r="U18" i="48"/>
  <c r="U19" i="48"/>
  <c r="U20" i="48"/>
  <c r="U21" i="48"/>
  <c r="U22" i="48"/>
  <c r="U23" i="48"/>
  <c r="U24" i="48"/>
  <c r="U25" i="48"/>
  <c r="U27" i="48"/>
  <c r="U28" i="48"/>
  <c r="U29" i="48"/>
  <c r="U30" i="48"/>
  <c r="U31" i="48"/>
  <c r="U32" i="48"/>
  <c r="U33" i="48"/>
  <c r="U34" i="48"/>
  <c r="U35" i="48"/>
  <c r="U6" i="48"/>
  <c r="U5" i="48"/>
  <c r="U4" i="48"/>
  <c r="U3" i="48"/>
  <c r="U3" i="47"/>
  <c r="W7" i="45"/>
  <c r="W8" i="45"/>
  <c r="W9" i="45"/>
  <c r="W10" i="45"/>
  <c r="W11" i="45"/>
  <c r="W12" i="45"/>
  <c r="W13" i="45"/>
  <c r="W14" i="45"/>
  <c r="W15" i="45"/>
  <c r="W16" i="45"/>
  <c r="W17" i="45"/>
  <c r="W18" i="45"/>
  <c r="W19" i="45"/>
  <c r="W20" i="45"/>
  <c r="W21" i="45"/>
  <c r="W22" i="45"/>
  <c r="W23" i="45"/>
  <c r="W24" i="45"/>
  <c r="W25" i="45"/>
  <c r="W27" i="45"/>
  <c r="W28" i="45"/>
  <c r="W29" i="45"/>
  <c r="W30" i="45"/>
  <c r="W31" i="45"/>
  <c r="W32" i="45"/>
  <c r="W33" i="45"/>
  <c r="W34" i="45"/>
  <c r="W35" i="45"/>
  <c r="W36" i="45"/>
  <c r="W37" i="45"/>
  <c r="W38" i="45"/>
  <c r="W6" i="45"/>
  <c r="W5" i="45"/>
  <c r="W4" i="45"/>
  <c r="T4" i="45"/>
  <c r="U3" i="45"/>
  <c r="V3" i="45" s="1"/>
  <c r="U4" i="45"/>
  <c r="V4" i="45"/>
  <c r="U5" i="45"/>
  <c r="V5" i="45"/>
  <c r="U6" i="45"/>
  <c r="V6" i="45"/>
  <c r="U7" i="45"/>
  <c r="V7" i="45"/>
  <c r="U8" i="45"/>
  <c r="V8" i="45"/>
  <c r="U9" i="45"/>
  <c r="V9" i="45"/>
  <c r="U10" i="45"/>
  <c r="V10" i="45"/>
  <c r="U11" i="45"/>
  <c r="V11" i="45"/>
  <c r="U12" i="45"/>
  <c r="V12" i="45"/>
  <c r="U13" i="45"/>
  <c r="V13" i="45"/>
  <c r="U14" i="45"/>
  <c r="V14" i="45"/>
  <c r="U15" i="45"/>
  <c r="V15" i="45"/>
  <c r="U16" i="45"/>
  <c r="V16" i="45"/>
  <c r="U17" i="45"/>
  <c r="V17" i="45"/>
  <c r="U18" i="45"/>
  <c r="V18" i="45"/>
  <c r="U19" i="45"/>
  <c r="V19" i="45"/>
  <c r="U20" i="45"/>
  <c r="V20" i="45"/>
  <c r="U21" i="45"/>
  <c r="V21" i="45"/>
  <c r="U22" i="45"/>
  <c r="V22" i="45"/>
  <c r="U23" i="45"/>
  <c r="V23" i="45"/>
  <c r="U24" i="45"/>
  <c r="V24" i="45"/>
  <c r="U25" i="45"/>
  <c r="V25" i="45"/>
  <c r="U27" i="45"/>
  <c r="V27" i="45"/>
  <c r="U28" i="45"/>
  <c r="V28" i="45"/>
  <c r="U29" i="45"/>
  <c r="V29" i="45"/>
  <c r="U30" i="45"/>
  <c r="V30" i="45"/>
  <c r="U31" i="45"/>
  <c r="V31" i="45"/>
  <c r="U32" i="45"/>
  <c r="V32" i="45"/>
  <c r="U33" i="45"/>
  <c r="V33" i="45"/>
  <c r="U34" i="45"/>
  <c r="V34" i="45"/>
  <c r="U35" i="45"/>
  <c r="V35" i="45"/>
  <c r="U36" i="45"/>
  <c r="V36" i="45"/>
  <c r="U37" i="45"/>
  <c r="V37" i="45"/>
  <c r="U38" i="45"/>
  <c r="V38" i="45"/>
  <c r="T3" i="45"/>
  <c r="U3" i="51"/>
  <c r="U40" i="40" l="1"/>
  <c r="U41" i="40"/>
  <c r="U39" i="35"/>
  <c r="U39" i="32"/>
  <c r="H4" i="49"/>
  <c r="H4" i="50"/>
  <c r="H29" i="55"/>
  <c r="I29" i="55"/>
  <c r="J29" i="55"/>
  <c r="K29" i="55"/>
  <c r="L29" i="55"/>
  <c r="M29" i="55"/>
  <c r="N29" i="55"/>
  <c r="O29" i="55"/>
  <c r="P29" i="55"/>
  <c r="Q29" i="55"/>
  <c r="R29" i="55"/>
  <c r="S29" i="55"/>
  <c r="T29" i="55"/>
  <c r="H30" i="55"/>
  <c r="I30" i="55"/>
  <c r="J30" i="55"/>
  <c r="K30" i="55"/>
  <c r="L30" i="55"/>
  <c r="M30" i="55"/>
  <c r="N30" i="55"/>
  <c r="O30" i="55"/>
  <c r="P30" i="55"/>
  <c r="Q30" i="55"/>
  <c r="R30" i="55"/>
  <c r="S30" i="55"/>
  <c r="T30" i="55"/>
  <c r="H31" i="55"/>
  <c r="I31" i="55"/>
  <c r="J31" i="55"/>
  <c r="K31" i="55"/>
  <c r="L31" i="55"/>
  <c r="M31" i="55"/>
  <c r="N31" i="55"/>
  <c r="O31" i="55"/>
  <c r="P31" i="55"/>
  <c r="Q31" i="55"/>
  <c r="R31" i="55"/>
  <c r="S31" i="55"/>
  <c r="T31" i="55"/>
  <c r="H32" i="55"/>
  <c r="I32" i="55"/>
  <c r="J32" i="55"/>
  <c r="K32" i="55"/>
  <c r="L32" i="55"/>
  <c r="M32" i="55"/>
  <c r="N32" i="55"/>
  <c r="O32" i="55"/>
  <c r="P32" i="55"/>
  <c r="Q32" i="55"/>
  <c r="R32" i="55"/>
  <c r="S32" i="55"/>
  <c r="T32" i="55"/>
  <c r="H33" i="55"/>
  <c r="I33" i="55"/>
  <c r="J33" i="55"/>
  <c r="K33" i="55"/>
  <c r="L33" i="55"/>
  <c r="M33" i="55"/>
  <c r="N33" i="55"/>
  <c r="O33" i="55"/>
  <c r="P33" i="55"/>
  <c r="Q33" i="55"/>
  <c r="R33" i="55"/>
  <c r="S33" i="55"/>
  <c r="T33" i="55"/>
  <c r="H34" i="55"/>
  <c r="I34" i="55"/>
  <c r="J34" i="55"/>
  <c r="K34" i="55"/>
  <c r="L34" i="55"/>
  <c r="M34" i="55"/>
  <c r="N34" i="55"/>
  <c r="O34" i="55"/>
  <c r="P34" i="55"/>
  <c r="Q34" i="55"/>
  <c r="R34" i="55"/>
  <c r="S34" i="55"/>
  <c r="T34" i="55"/>
  <c r="H35" i="55"/>
  <c r="I35" i="55"/>
  <c r="J35" i="55"/>
  <c r="K35" i="55"/>
  <c r="L35" i="55"/>
  <c r="M35" i="55"/>
  <c r="N35" i="55"/>
  <c r="O35" i="55"/>
  <c r="P35" i="55"/>
  <c r="Q35" i="55"/>
  <c r="R35" i="55"/>
  <c r="S35" i="55"/>
  <c r="T35" i="55"/>
  <c r="H36" i="55"/>
  <c r="I36" i="55"/>
  <c r="J36" i="55"/>
  <c r="K36" i="55"/>
  <c r="L36" i="55"/>
  <c r="M36" i="55"/>
  <c r="N36" i="55"/>
  <c r="O36" i="55"/>
  <c r="P36" i="55"/>
  <c r="Q36" i="55"/>
  <c r="R36" i="55"/>
  <c r="S36" i="55"/>
  <c r="T36" i="55"/>
  <c r="J28" i="55"/>
  <c r="K28" i="55"/>
  <c r="L28" i="55"/>
  <c r="M28" i="55"/>
  <c r="N28" i="55"/>
  <c r="O28" i="55"/>
  <c r="P28" i="55"/>
  <c r="Q28" i="55"/>
  <c r="R28" i="55"/>
  <c r="S28" i="55"/>
  <c r="T28" i="55"/>
  <c r="I28" i="55"/>
  <c r="H28" i="55"/>
  <c r="H29" i="54"/>
  <c r="I29" i="54"/>
  <c r="J29" i="54"/>
  <c r="K29" i="54"/>
  <c r="L29" i="54"/>
  <c r="M29" i="54"/>
  <c r="N29" i="54"/>
  <c r="O29" i="54"/>
  <c r="P29" i="54"/>
  <c r="Q29" i="54"/>
  <c r="R29" i="54"/>
  <c r="S29" i="54"/>
  <c r="T29" i="54"/>
  <c r="H30" i="54"/>
  <c r="I30" i="54"/>
  <c r="J30" i="54"/>
  <c r="K30" i="54"/>
  <c r="L30" i="54"/>
  <c r="M30" i="54"/>
  <c r="N30" i="54"/>
  <c r="O30" i="54"/>
  <c r="P30" i="54"/>
  <c r="Q30" i="54"/>
  <c r="R30" i="54"/>
  <c r="S30" i="54"/>
  <c r="T30" i="54"/>
  <c r="H31" i="54"/>
  <c r="I31" i="54"/>
  <c r="J31" i="54"/>
  <c r="K31" i="54"/>
  <c r="L31" i="54"/>
  <c r="M31" i="54"/>
  <c r="N31" i="54"/>
  <c r="O31" i="54"/>
  <c r="P31" i="54"/>
  <c r="Q31" i="54"/>
  <c r="R31" i="54"/>
  <c r="S31" i="54"/>
  <c r="T31" i="54"/>
  <c r="H32" i="54"/>
  <c r="I32" i="54"/>
  <c r="J32" i="54"/>
  <c r="K32" i="54"/>
  <c r="L32" i="54"/>
  <c r="M32" i="54"/>
  <c r="N32" i="54"/>
  <c r="O32" i="54"/>
  <c r="P32" i="54"/>
  <c r="Q32" i="54"/>
  <c r="R32" i="54"/>
  <c r="S32" i="54"/>
  <c r="T32" i="54"/>
  <c r="H33" i="54"/>
  <c r="I33" i="54"/>
  <c r="J33" i="54"/>
  <c r="K33" i="54"/>
  <c r="L33" i="54"/>
  <c r="M33" i="54"/>
  <c r="N33" i="54"/>
  <c r="O33" i="54"/>
  <c r="P33" i="54"/>
  <c r="Q33" i="54"/>
  <c r="R33" i="54"/>
  <c r="S33" i="54"/>
  <c r="T33" i="54"/>
  <c r="H34" i="54"/>
  <c r="I34" i="54"/>
  <c r="J34" i="54"/>
  <c r="K34" i="54"/>
  <c r="L34" i="54"/>
  <c r="M34" i="54"/>
  <c r="N34" i="54"/>
  <c r="O34" i="54"/>
  <c r="P34" i="54"/>
  <c r="Q34" i="54"/>
  <c r="R34" i="54"/>
  <c r="S34" i="54"/>
  <c r="T34" i="54"/>
  <c r="H35" i="54"/>
  <c r="I35" i="54"/>
  <c r="J35" i="54"/>
  <c r="K35" i="54"/>
  <c r="L35" i="54"/>
  <c r="M35" i="54"/>
  <c r="N35" i="54"/>
  <c r="O35" i="54"/>
  <c r="P35" i="54"/>
  <c r="Q35" i="54"/>
  <c r="R35" i="54"/>
  <c r="S35" i="54"/>
  <c r="T35" i="54"/>
  <c r="H36" i="54"/>
  <c r="I36" i="54"/>
  <c r="J36" i="54"/>
  <c r="K36" i="54"/>
  <c r="L36" i="54"/>
  <c r="M36" i="54"/>
  <c r="N36" i="54"/>
  <c r="O36" i="54"/>
  <c r="P36" i="54"/>
  <c r="Q36" i="54"/>
  <c r="R36" i="54"/>
  <c r="S36" i="54"/>
  <c r="T36" i="54"/>
  <c r="H37" i="54"/>
  <c r="I37" i="54"/>
  <c r="J37" i="54"/>
  <c r="K37" i="54"/>
  <c r="L37" i="54"/>
  <c r="M37" i="54"/>
  <c r="N37" i="54"/>
  <c r="O37" i="54"/>
  <c r="P37" i="54"/>
  <c r="Q37" i="54"/>
  <c r="R37" i="54"/>
  <c r="S37" i="54"/>
  <c r="T37" i="54"/>
  <c r="H38" i="54"/>
  <c r="I38" i="54"/>
  <c r="J38" i="54"/>
  <c r="K38" i="54"/>
  <c r="L38" i="54"/>
  <c r="M38" i="54"/>
  <c r="N38" i="54"/>
  <c r="O38" i="54"/>
  <c r="P38" i="54"/>
  <c r="Q38" i="54"/>
  <c r="R38" i="54"/>
  <c r="S38" i="54"/>
  <c r="T38" i="54"/>
  <c r="J28" i="54"/>
  <c r="K28" i="54"/>
  <c r="L28" i="54"/>
  <c r="M28" i="54"/>
  <c r="N28" i="54"/>
  <c r="O28" i="54"/>
  <c r="P28" i="54"/>
  <c r="Q28" i="54"/>
  <c r="R28" i="54"/>
  <c r="S28" i="54"/>
  <c r="T28" i="54"/>
  <c r="I28" i="54"/>
  <c r="H28" i="54"/>
  <c r="J27" i="54"/>
  <c r="K27" i="54"/>
  <c r="L27" i="54"/>
  <c r="M27" i="54"/>
  <c r="N27" i="54"/>
  <c r="O27" i="54"/>
  <c r="P27" i="54"/>
  <c r="Q27" i="54"/>
  <c r="R27" i="54"/>
  <c r="S27" i="54"/>
  <c r="T27" i="54"/>
  <c r="I27" i="54"/>
  <c r="H27" i="54"/>
  <c r="J27" i="55"/>
  <c r="K27" i="55"/>
  <c r="L27" i="55"/>
  <c r="M27" i="55"/>
  <c r="N27" i="55"/>
  <c r="O27" i="55"/>
  <c r="P27" i="55"/>
  <c r="Q27" i="55"/>
  <c r="R27" i="55"/>
  <c r="S27" i="55"/>
  <c r="T27" i="55"/>
  <c r="I27" i="55"/>
  <c r="H27" i="55"/>
  <c r="H16" i="55"/>
  <c r="I16" i="55"/>
  <c r="J16" i="55"/>
  <c r="K16" i="55"/>
  <c r="L16" i="55"/>
  <c r="M16" i="55"/>
  <c r="N16" i="55"/>
  <c r="O16" i="55"/>
  <c r="P16" i="55"/>
  <c r="Q16" i="55"/>
  <c r="R16" i="55"/>
  <c r="S16" i="55"/>
  <c r="T16" i="55"/>
  <c r="H17" i="55"/>
  <c r="I17" i="55"/>
  <c r="J17" i="55"/>
  <c r="K17" i="55"/>
  <c r="L17" i="55"/>
  <c r="M17" i="55"/>
  <c r="N17" i="55"/>
  <c r="O17" i="55"/>
  <c r="P17" i="55"/>
  <c r="Q17" i="55"/>
  <c r="R17" i="55"/>
  <c r="S17" i="55"/>
  <c r="T17" i="55"/>
  <c r="H18" i="55"/>
  <c r="I18" i="55"/>
  <c r="J18" i="55"/>
  <c r="K18" i="55"/>
  <c r="L18" i="55"/>
  <c r="M18" i="55"/>
  <c r="N18" i="55"/>
  <c r="O18" i="55"/>
  <c r="P18" i="55"/>
  <c r="Q18" i="55"/>
  <c r="R18" i="55"/>
  <c r="S18" i="55"/>
  <c r="T18" i="55"/>
  <c r="H19" i="55"/>
  <c r="I19" i="55"/>
  <c r="J19" i="55"/>
  <c r="K19" i="55"/>
  <c r="L19" i="55"/>
  <c r="M19" i="55"/>
  <c r="N19" i="55"/>
  <c r="O19" i="55"/>
  <c r="P19" i="55"/>
  <c r="Q19" i="55"/>
  <c r="R19" i="55"/>
  <c r="S19" i="55"/>
  <c r="T19" i="55"/>
  <c r="H20" i="55"/>
  <c r="I20" i="55"/>
  <c r="J20" i="55"/>
  <c r="K20" i="55"/>
  <c r="L20" i="55"/>
  <c r="M20" i="55"/>
  <c r="N20" i="55"/>
  <c r="O20" i="55"/>
  <c r="P20" i="55"/>
  <c r="Q20" i="55"/>
  <c r="R20" i="55"/>
  <c r="S20" i="55"/>
  <c r="T20" i="55"/>
  <c r="H21" i="55"/>
  <c r="I21" i="55"/>
  <c r="J21" i="55"/>
  <c r="K21" i="55"/>
  <c r="L21" i="55"/>
  <c r="M21" i="55"/>
  <c r="N21" i="55"/>
  <c r="O21" i="55"/>
  <c r="P21" i="55"/>
  <c r="Q21" i="55"/>
  <c r="R21" i="55"/>
  <c r="S21" i="55"/>
  <c r="T21" i="55"/>
  <c r="H22" i="55"/>
  <c r="I22" i="55"/>
  <c r="J22" i="55"/>
  <c r="K22" i="55"/>
  <c r="L22" i="55"/>
  <c r="M22" i="55"/>
  <c r="N22" i="55"/>
  <c r="O22" i="55"/>
  <c r="P22" i="55"/>
  <c r="Q22" i="55"/>
  <c r="R22" i="55"/>
  <c r="S22" i="55"/>
  <c r="T22" i="55"/>
  <c r="H23" i="55"/>
  <c r="I23" i="55"/>
  <c r="J23" i="55"/>
  <c r="K23" i="55"/>
  <c r="L23" i="55"/>
  <c r="M23" i="55"/>
  <c r="N23" i="55"/>
  <c r="O23" i="55"/>
  <c r="P23" i="55"/>
  <c r="Q23" i="55"/>
  <c r="R23" i="55"/>
  <c r="S23" i="55"/>
  <c r="T23" i="55"/>
  <c r="H24" i="55"/>
  <c r="I24" i="55"/>
  <c r="J24" i="55"/>
  <c r="K24" i="55"/>
  <c r="L24" i="55"/>
  <c r="M24" i="55"/>
  <c r="N24" i="55"/>
  <c r="O24" i="55"/>
  <c r="P24" i="55"/>
  <c r="Q24" i="55"/>
  <c r="R24" i="55"/>
  <c r="S24" i="55"/>
  <c r="T24" i="55"/>
  <c r="H25" i="55"/>
  <c r="I25" i="55"/>
  <c r="J25" i="55"/>
  <c r="K25" i="55"/>
  <c r="L25" i="55"/>
  <c r="M25" i="55"/>
  <c r="N25" i="55"/>
  <c r="O25" i="55"/>
  <c r="P25" i="55"/>
  <c r="Q25" i="55"/>
  <c r="R25" i="55"/>
  <c r="S25" i="55"/>
  <c r="T25" i="55"/>
  <c r="J15" i="55"/>
  <c r="K15" i="55"/>
  <c r="L15" i="55"/>
  <c r="M15" i="55"/>
  <c r="N15" i="55"/>
  <c r="O15" i="55"/>
  <c r="P15" i="55"/>
  <c r="Q15" i="55"/>
  <c r="R15" i="55"/>
  <c r="S15" i="55"/>
  <c r="T15" i="55"/>
  <c r="I15" i="55"/>
  <c r="H15" i="55"/>
  <c r="J14" i="55"/>
  <c r="K14" i="55"/>
  <c r="L14" i="55"/>
  <c r="M14" i="55"/>
  <c r="N14" i="55"/>
  <c r="O14" i="55"/>
  <c r="P14" i="55"/>
  <c r="Q14" i="55"/>
  <c r="R14" i="55"/>
  <c r="S14" i="55"/>
  <c r="T14" i="55"/>
  <c r="I14" i="55"/>
  <c r="H14" i="55"/>
  <c r="H10" i="55"/>
  <c r="I10" i="55"/>
  <c r="J10" i="55"/>
  <c r="K10" i="55"/>
  <c r="L10" i="55"/>
  <c r="M10" i="55"/>
  <c r="N10" i="55"/>
  <c r="O10" i="55"/>
  <c r="P10" i="55"/>
  <c r="Q10" i="55"/>
  <c r="R10" i="55"/>
  <c r="S10" i="55"/>
  <c r="T10" i="55"/>
  <c r="H11" i="55"/>
  <c r="I11" i="55"/>
  <c r="J11" i="55"/>
  <c r="K11" i="55"/>
  <c r="L11" i="55"/>
  <c r="M11" i="55"/>
  <c r="N11" i="55"/>
  <c r="O11" i="55"/>
  <c r="P11" i="55"/>
  <c r="Q11" i="55"/>
  <c r="R11" i="55"/>
  <c r="S11" i="55"/>
  <c r="T11" i="55"/>
  <c r="H12" i="55"/>
  <c r="I12" i="55"/>
  <c r="J12" i="55"/>
  <c r="K12" i="55"/>
  <c r="L12" i="55"/>
  <c r="M12" i="55"/>
  <c r="N12" i="55"/>
  <c r="O12" i="55"/>
  <c r="P12" i="55"/>
  <c r="Q12" i="55"/>
  <c r="R12" i="55"/>
  <c r="S12" i="55"/>
  <c r="T12" i="55"/>
  <c r="H6" i="54"/>
  <c r="I6" i="54"/>
  <c r="J6" i="54"/>
  <c r="K6" i="54"/>
  <c r="L6" i="54"/>
  <c r="M6" i="54"/>
  <c r="N6" i="54"/>
  <c r="O6" i="54"/>
  <c r="P6" i="54"/>
  <c r="Q6" i="54"/>
  <c r="R6" i="54"/>
  <c r="S6" i="54"/>
  <c r="T6" i="54"/>
  <c r="H7" i="54"/>
  <c r="I7" i="54"/>
  <c r="J7" i="54"/>
  <c r="K7" i="54"/>
  <c r="L7" i="54"/>
  <c r="M7" i="54"/>
  <c r="N7" i="54"/>
  <c r="O7" i="54"/>
  <c r="P7" i="54"/>
  <c r="Q7" i="54"/>
  <c r="R7" i="54"/>
  <c r="S7" i="54"/>
  <c r="T7" i="54"/>
  <c r="H8" i="54"/>
  <c r="I8" i="54"/>
  <c r="J8" i="54"/>
  <c r="K8" i="54"/>
  <c r="L8" i="54"/>
  <c r="M8" i="54"/>
  <c r="N8" i="54"/>
  <c r="O8" i="54"/>
  <c r="P8" i="54"/>
  <c r="Q8" i="54"/>
  <c r="R8" i="54"/>
  <c r="S8" i="54"/>
  <c r="T8" i="54"/>
  <c r="H9" i="54"/>
  <c r="I9" i="54"/>
  <c r="J9" i="54"/>
  <c r="K9" i="54"/>
  <c r="L9" i="54"/>
  <c r="M9" i="54"/>
  <c r="N9" i="54"/>
  <c r="O9" i="54"/>
  <c r="P9" i="54"/>
  <c r="Q9" i="54"/>
  <c r="R9" i="54"/>
  <c r="S9" i="54"/>
  <c r="T9" i="54"/>
  <c r="H10" i="54"/>
  <c r="I10" i="54"/>
  <c r="J10" i="54"/>
  <c r="K10" i="54"/>
  <c r="L10" i="54"/>
  <c r="M10" i="54"/>
  <c r="N10" i="54"/>
  <c r="O10" i="54"/>
  <c r="P10" i="54"/>
  <c r="Q10" i="54"/>
  <c r="R10" i="54"/>
  <c r="S10" i="54"/>
  <c r="T10" i="54"/>
  <c r="H11" i="54"/>
  <c r="I11" i="54"/>
  <c r="J11" i="54"/>
  <c r="K11" i="54"/>
  <c r="L11" i="54"/>
  <c r="M11" i="54"/>
  <c r="N11" i="54"/>
  <c r="O11" i="54"/>
  <c r="P11" i="54"/>
  <c r="Q11" i="54"/>
  <c r="R11" i="54"/>
  <c r="S11" i="54"/>
  <c r="T11" i="54"/>
  <c r="H12" i="54"/>
  <c r="E12" i="54" s="1"/>
  <c r="I12" i="54"/>
  <c r="D12" i="54" s="1"/>
  <c r="J12" i="54"/>
  <c r="K12" i="54"/>
  <c r="L12" i="54"/>
  <c r="M12" i="54"/>
  <c r="N12" i="54"/>
  <c r="O12" i="54"/>
  <c r="P12" i="54"/>
  <c r="Q12" i="54"/>
  <c r="R12" i="54"/>
  <c r="S12" i="54"/>
  <c r="T12" i="54"/>
  <c r="H13" i="54"/>
  <c r="I13" i="54"/>
  <c r="J13" i="54"/>
  <c r="K13" i="54"/>
  <c r="L13" i="54"/>
  <c r="M13" i="54"/>
  <c r="N13" i="54"/>
  <c r="O13" i="54"/>
  <c r="P13" i="54"/>
  <c r="Q13" i="54"/>
  <c r="R13" i="54"/>
  <c r="S13" i="54"/>
  <c r="T13" i="54"/>
  <c r="H14" i="54"/>
  <c r="I14" i="54"/>
  <c r="J14" i="54"/>
  <c r="K14" i="54"/>
  <c r="L14" i="54"/>
  <c r="M14" i="54"/>
  <c r="N14" i="54"/>
  <c r="O14" i="54"/>
  <c r="P14" i="54"/>
  <c r="Q14" i="54"/>
  <c r="R14" i="54"/>
  <c r="S14" i="54"/>
  <c r="T14" i="54"/>
  <c r="H15" i="54"/>
  <c r="I15" i="54"/>
  <c r="J15" i="54"/>
  <c r="K15" i="54"/>
  <c r="L15" i="54"/>
  <c r="M15" i="54"/>
  <c r="N15" i="54"/>
  <c r="O15" i="54"/>
  <c r="P15" i="54"/>
  <c r="Q15" i="54"/>
  <c r="R15" i="54"/>
  <c r="S15" i="54"/>
  <c r="T15" i="54"/>
  <c r="H16" i="54"/>
  <c r="I16" i="54"/>
  <c r="J16" i="54"/>
  <c r="K16" i="54"/>
  <c r="L16" i="54"/>
  <c r="M16" i="54"/>
  <c r="N16" i="54"/>
  <c r="O16" i="54"/>
  <c r="P16" i="54"/>
  <c r="Q16" i="54"/>
  <c r="R16" i="54"/>
  <c r="S16" i="54"/>
  <c r="T16" i="54"/>
  <c r="H17" i="54"/>
  <c r="I17" i="54"/>
  <c r="J17" i="54"/>
  <c r="K17" i="54"/>
  <c r="L17" i="54"/>
  <c r="M17" i="54"/>
  <c r="N17" i="54"/>
  <c r="O17" i="54"/>
  <c r="P17" i="54"/>
  <c r="Q17" i="54"/>
  <c r="R17" i="54"/>
  <c r="S17" i="54"/>
  <c r="T17" i="54"/>
  <c r="H18" i="54"/>
  <c r="I18" i="54"/>
  <c r="J18" i="54"/>
  <c r="K18" i="54"/>
  <c r="L18" i="54"/>
  <c r="M18" i="54"/>
  <c r="N18" i="54"/>
  <c r="O18" i="54"/>
  <c r="P18" i="54"/>
  <c r="Q18" i="54"/>
  <c r="R18" i="54"/>
  <c r="S18" i="54"/>
  <c r="T18" i="54"/>
  <c r="H19" i="54"/>
  <c r="I19" i="54"/>
  <c r="J19" i="54"/>
  <c r="K19" i="54"/>
  <c r="L19" i="54"/>
  <c r="M19" i="54"/>
  <c r="N19" i="54"/>
  <c r="O19" i="54"/>
  <c r="P19" i="54"/>
  <c r="Q19" i="54"/>
  <c r="R19" i="54"/>
  <c r="S19" i="54"/>
  <c r="T19" i="54"/>
  <c r="H20" i="54"/>
  <c r="I20" i="54"/>
  <c r="J20" i="54"/>
  <c r="K20" i="54"/>
  <c r="L20" i="54"/>
  <c r="M20" i="54"/>
  <c r="N20" i="54"/>
  <c r="O20" i="54"/>
  <c r="P20" i="54"/>
  <c r="Q20" i="54"/>
  <c r="R20" i="54"/>
  <c r="S20" i="54"/>
  <c r="T20" i="54"/>
  <c r="H21" i="54"/>
  <c r="I21" i="54"/>
  <c r="J21" i="54"/>
  <c r="K21" i="54"/>
  <c r="L21" i="54"/>
  <c r="M21" i="54"/>
  <c r="N21" i="54"/>
  <c r="O21" i="54"/>
  <c r="P21" i="54"/>
  <c r="Q21" i="54"/>
  <c r="R21" i="54"/>
  <c r="S21" i="54"/>
  <c r="T21" i="54"/>
  <c r="H22" i="54"/>
  <c r="I22" i="54"/>
  <c r="J22" i="54"/>
  <c r="K22" i="54"/>
  <c r="L22" i="54"/>
  <c r="M22" i="54"/>
  <c r="N22" i="54"/>
  <c r="O22" i="54"/>
  <c r="P22" i="54"/>
  <c r="Q22" i="54"/>
  <c r="R22" i="54"/>
  <c r="S22" i="54"/>
  <c r="T22" i="54"/>
  <c r="H23" i="54"/>
  <c r="I23" i="54"/>
  <c r="J23" i="54"/>
  <c r="K23" i="54"/>
  <c r="L23" i="54"/>
  <c r="M23" i="54"/>
  <c r="N23" i="54"/>
  <c r="O23" i="54"/>
  <c r="P23" i="54"/>
  <c r="Q23" i="54"/>
  <c r="R23" i="54"/>
  <c r="S23" i="54"/>
  <c r="T23" i="54"/>
  <c r="H24" i="54"/>
  <c r="I24" i="54"/>
  <c r="J24" i="54"/>
  <c r="K24" i="54"/>
  <c r="L24" i="54"/>
  <c r="M24" i="54"/>
  <c r="N24" i="54"/>
  <c r="O24" i="54"/>
  <c r="P24" i="54"/>
  <c r="Q24" i="54"/>
  <c r="R24" i="54"/>
  <c r="S24" i="54"/>
  <c r="T24" i="54"/>
  <c r="H25" i="54"/>
  <c r="I25" i="54"/>
  <c r="J25" i="54"/>
  <c r="K25" i="54"/>
  <c r="L25" i="54"/>
  <c r="M25" i="54"/>
  <c r="N25" i="54"/>
  <c r="O25" i="54"/>
  <c r="P25" i="54"/>
  <c r="Q25" i="54"/>
  <c r="R25" i="54"/>
  <c r="S25" i="54"/>
  <c r="T25" i="54"/>
  <c r="J5" i="54"/>
  <c r="K5" i="54"/>
  <c r="L5" i="54"/>
  <c r="M5" i="54"/>
  <c r="N5" i="54"/>
  <c r="O5" i="54"/>
  <c r="P5" i="54"/>
  <c r="Q5" i="54"/>
  <c r="R5" i="54"/>
  <c r="S5" i="54"/>
  <c r="T5" i="54"/>
  <c r="I5" i="54"/>
  <c r="H5" i="54"/>
  <c r="J4" i="54"/>
  <c r="K4" i="54"/>
  <c r="L4" i="54"/>
  <c r="M4" i="54"/>
  <c r="N4" i="54"/>
  <c r="O4" i="54"/>
  <c r="P4" i="54"/>
  <c r="Q4" i="54"/>
  <c r="R4" i="54"/>
  <c r="S4" i="54"/>
  <c r="T4" i="54"/>
  <c r="I4" i="54"/>
  <c r="H4" i="54"/>
  <c r="H6" i="55"/>
  <c r="I6" i="55"/>
  <c r="J6" i="55"/>
  <c r="K6" i="55"/>
  <c r="L6" i="55"/>
  <c r="M6" i="55"/>
  <c r="N6" i="55"/>
  <c r="O6" i="55"/>
  <c r="P6" i="55"/>
  <c r="Q6" i="55"/>
  <c r="R6" i="55"/>
  <c r="S6" i="55"/>
  <c r="T6" i="55"/>
  <c r="H7" i="55"/>
  <c r="I7" i="55"/>
  <c r="J7" i="55"/>
  <c r="K7" i="55"/>
  <c r="L7" i="55"/>
  <c r="M7" i="55"/>
  <c r="N7" i="55"/>
  <c r="O7" i="55"/>
  <c r="P7" i="55"/>
  <c r="Q7" i="55"/>
  <c r="R7" i="55"/>
  <c r="S7" i="55"/>
  <c r="T7" i="55"/>
  <c r="H8" i="55"/>
  <c r="I8" i="55"/>
  <c r="J8" i="55"/>
  <c r="K8" i="55"/>
  <c r="L8" i="55"/>
  <c r="M8" i="55"/>
  <c r="N8" i="55"/>
  <c r="O8" i="55"/>
  <c r="P8" i="55"/>
  <c r="Q8" i="55"/>
  <c r="R8" i="55"/>
  <c r="S8" i="55"/>
  <c r="T8" i="55"/>
  <c r="H9" i="55"/>
  <c r="I9" i="55"/>
  <c r="J9" i="55"/>
  <c r="K9" i="55"/>
  <c r="L9" i="55"/>
  <c r="M9" i="55"/>
  <c r="N9" i="55"/>
  <c r="O9" i="55"/>
  <c r="P9" i="55"/>
  <c r="Q9" i="55"/>
  <c r="R9" i="55"/>
  <c r="S9" i="55"/>
  <c r="T9" i="55"/>
  <c r="J5" i="55"/>
  <c r="K5" i="55"/>
  <c r="L5" i="55"/>
  <c r="M5" i="55"/>
  <c r="N5" i="55"/>
  <c r="O5" i="55"/>
  <c r="P5" i="55"/>
  <c r="Q5" i="55"/>
  <c r="R5" i="55"/>
  <c r="S5" i="55"/>
  <c r="T5" i="55"/>
  <c r="I5" i="55"/>
  <c r="H5" i="55"/>
  <c r="K4" i="55"/>
  <c r="L4" i="55"/>
  <c r="M4" i="55"/>
  <c r="N4" i="55"/>
  <c r="O4" i="55"/>
  <c r="P4" i="55"/>
  <c r="Q4" i="55"/>
  <c r="R4" i="55"/>
  <c r="S4" i="55"/>
  <c r="T4" i="55"/>
  <c r="J4" i="55"/>
  <c r="I4" i="55"/>
  <c r="H4" i="55"/>
  <c r="D3" i="55"/>
  <c r="E3" i="55" s="1"/>
  <c r="F3" i="55" s="1"/>
  <c r="G3" i="55" s="1"/>
  <c r="H3" i="55" s="1"/>
  <c r="I3" i="55" s="1"/>
  <c r="J3" i="55" s="1"/>
  <c r="K3" i="55" s="1"/>
  <c r="L3" i="55" s="1"/>
  <c r="M3" i="55" s="1"/>
  <c r="N3" i="55" s="1"/>
  <c r="O3" i="55" s="1"/>
  <c r="P3" i="55" s="1"/>
  <c r="Q3" i="55" s="1"/>
  <c r="R3" i="55" s="1"/>
  <c r="S3" i="55" s="1"/>
  <c r="T3" i="55" s="1"/>
  <c r="U3" i="55" s="1"/>
  <c r="C12" i="54"/>
  <c r="D3" i="54"/>
  <c r="E3" i="54" s="1"/>
  <c r="F3" i="54" s="1"/>
  <c r="G3" i="54" s="1"/>
  <c r="H3" i="54" s="1"/>
  <c r="I3" i="54" s="1"/>
  <c r="J3" i="54" s="1"/>
  <c r="K3" i="54" s="1"/>
  <c r="L3" i="54" s="1"/>
  <c r="M3" i="54" s="1"/>
  <c r="N3" i="54" s="1"/>
  <c r="O3" i="54" s="1"/>
  <c r="P3" i="54" s="1"/>
  <c r="Q3" i="54" s="1"/>
  <c r="R3" i="54" s="1"/>
  <c r="S3" i="54" s="1"/>
  <c r="T3" i="54" s="1"/>
  <c r="T39" i="53"/>
  <c r="S39" i="53"/>
  <c r="R39" i="53"/>
  <c r="Q39" i="53"/>
  <c r="P39" i="53"/>
  <c r="O39" i="53"/>
  <c r="N39" i="53"/>
  <c r="M39" i="53"/>
  <c r="L39" i="53"/>
  <c r="K39" i="53"/>
  <c r="J39" i="53"/>
  <c r="I39" i="53"/>
  <c r="H39" i="53"/>
  <c r="G39" i="53"/>
  <c r="F39" i="53"/>
  <c r="E39" i="53"/>
  <c r="D39" i="53"/>
  <c r="C39" i="53"/>
  <c r="D3" i="53"/>
  <c r="E3" i="53" s="1"/>
  <c r="F3" i="53" s="1"/>
  <c r="G3" i="53" s="1"/>
  <c r="H3" i="53" s="1"/>
  <c r="I3" i="53" s="1"/>
  <c r="J3" i="53" s="1"/>
  <c r="K3" i="53" s="1"/>
  <c r="L3" i="53" s="1"/>
  <c r="M3" i="53" s="1"/>
  <c r="N3" i="53" s="1"/>
  <c r="O3" i="53" s="1"/>
  <c r="P3" i="53" s="1"/>
  <c r="Q3" i="53" s="1"/>
  <c r="R3" i="53" s="1"/>
  <c r="S3" i="53" s="1"/>
  <c r="T3" i="53" s="1"/>
  <c r="U41" i="35" l="1"/>
  <c r="U40" i="35"/>
  <c r="P12" i="39"/>
  <c r="T38" i="48"/>
  <c r="S38" i="48"/>
  <c r="R38" i="48"/>
  <c r="Q38" i="48"/>
  <c r="P38" i="48"/>
  <c r="O38" i="48"/>
  <c r="N38" i="48"/>
  <c r="M38" i="48"/>
  <c r="L38" i="48"/>
  <c r="K38" i="48"/>
  <c r="J38" i="48"/>
  <c r="I38" i="48"/>
  <c r="H38" i="48"/>
  <c r="T37" i="48"/>
  <c r="S37" i="48"/>
  <c r="R37" i="48"/>
  <c r="Q37" i="48"/>
  <c r="P37" i="48"/>
  <c r="O37" i="48"/>
  <c r="N37" i="48"/>
  <c r="M37" i="48"/>
  <c r="L37" i="48"/>
  <c r="K37" i="48"/>
  <c r="J37" i="48"/>
  <c r="I37" i="48"/>
  <c r="H37" i="48"/>
  <c r="T36" i="48"/>
  <c r="S36" i="48"/>
  <c r="R36" i="48"/>
  <c r="Q36" i="48"/>
  <c r="P36" i="48"/>
  <c r="O36" i="48"/>
  <c r="N36" i="48"/>
  <c r="M36" i="48"/>
  <c r="L36" i="48"/>
  <c r="K36" i="48"/>
  <c r="J36" i="48"/>
  <c r="I36" i="48"/>
  <c r="H36" i="48"/>
  <c r="T35" i="48"/>
  <c r="S35" i="48"/>
  <c r="R35" i="48"/>
  <c r="Q35" i="48"/>
  <c r="P35" i="48"/>
  <c r="O35" i="48"/>
  <c r="N35" i="48"/>
  <c r="M35" i="48"/>
  <c r="L35" i="48"/>
  <c r="K35" i="48"/>
  <c r="J35" i="48"/>
  <c r="I35" i="48"/>
  <c r="H35" i="48"/>
  <c r="T34" i="48"/>
  <c r="S34" i="48"/>
  <c r="R34" i="48"/>
  <c r="Q34" i="48"/>
  <c r="P34" i="48"/>
  <c r="O34" i="48"/>
  <c r="N34" i="48"/>
  <c r="M34" i="48"/>
  <c r="L34" i="48"/>
  <c r="K34" i="48"/>
  <c r="J34" i="48"/>
  <c r="I34" i="48"/>
  <c r="H34" i="48"/>
  <c r="T33" i="48"/>
  <c r="S33" i="48"/>
  <c r="R33" i="48"/>
  <c r="Q33" i="48"/>
  <c r="P33" i="48"/>
  <c r="O33" i="48"/>
  <c r="N33" i="48"/>
  <c r="M33" i="48"/>
  <c r="L33" i="48"/>
  <c r="K33" i="48"/>
  <c r="J33" i="48"/>
  <c r="I33" i="48"/>
  <c r="H33" i="48"/>
  <c r="T32" i="48"/>
  <c r="S32" i="48"/>
  <c r="R32" i="48"/>
  <c r="Q32" i="48"/>
  <c r="P32" i="48"/>
  <c r="O32" i="48"/>
  <c r="N32" i="48"/>
  <c r="M32" i="48"/>
  <c r="L32" i="48"/>
  <c r="K32" i="48"/>
  <c r="J32" i="48"/>
  <c r="I32" i="48"/>
  <c r="H32" i="48"/>
  <c r="T31" i="48"/>
  <c r="S31" i="48"/>
  <c r="R31" i="48"/>
  <c r="Q31" i="48"/>
  <c r="P31" i="48"/>
  <c r="O31" i="48"/>
  <c r="N31" i="48"/>
  <c r="M31" i="48"/>
  <c r="L31" i="48"/>
  <c r="K31" i="48"/>
  <c r="J31" i="48"/>
  <c r="I31" i="48"/>
  <c r="H31" i="48"/>
  <c r="T30" i="48"/>
  <c r="S30" i="48"/>
  <c r="R30" i="48"/>
  <c r="Q30" i="48"/>
  <c r="P30" i="48"/>
  <c r="O30" i="48"/>
  <c r="N30" i="48"/>
  <c r="M30" i="48"/>
  <c r="L30" i="48"/>
  <c r="K30" i="48"/>
  <c r="J30" i="48"/>
  <c r="I30" i="48"/>
  <c r="H30" i="48"/>
  <c r="T29" i="48"/>
  <c r="S29" i="48"/>
  <c r="R29" i="48"/>
  <c r="Q29" i="48"/>
  <c r="P29" i="48"/>
  <c r="O29" i="48"/>
  <c r="N29" i="48"/>
  <c r="M29" i="48"/>
  <c r="L29" i="48"/>
  <c r="K29" i="48"/>
  <c r="J29" i="48"/>
  <c r="I29" i="48"/>
  <c r="H29" i="48"/>
  <c r="T28" i="48"/>
  <c r="S28" i="48"/>
  <c r="R28" i="48"/>
  <c r="Q28" i="48"/>
  <c r="P28" i="48"/>
  <c r="O28" i="48"/>
  <c r="N28" i="48"/>
  <c r="M28" i="48"/>
  <c r="L28" i="48"/>
  <c r="K28" i="48"/>
  <c r="J28" i="48"/>
  <c r="I28" i="48"/>
  <c r="H28" i="48"/>
  <c r="T27" i="48"/>
  <c r="S27" i="48"/>
  <c r="R27" i="48"/>
  <c r="Q27" i="48"/>
  <c r="P27" i="48"/>
  <c r="O27" i="48"/>
  <c r="N27" i="48"/>
  <c r="M27" i="48"/>
  <c r="L27" i="48"/>
  <c r="K27" i="48"/>
  <c r="J27" i="48"/>
  <c r="I27" i="48"/>
  <c r="H27" i="48"/>
  <c r="T25" i="48"/>
  <c r="S25" i="48"/>
  <c r="R25" i="48"/>
  <c r="Q25" i="48"/>
  <c r="P25" i="48"/>
  <c r="O25" i="48"/>
  <c r="N25" i="48"/>
  <c r="M25" i="48"/>
  <c r="L25" i="48"/>
  <c r="K25" i="48"/>
  <c r="J25" i="48"/>
  <c r="I25" i="48"/>
  <c r="H25" i="48"/>
  <c r="T24" i="48"/>
  <c r="S24" i="48"/>
  <c r="R24" i="48"/>
  <c r="Q24" i="48"/>
  <c r="P24" i="48"/>
  <c r="O24" i="48"/>
  <c r="N24" i="48"/>
  <c r="M24" i="48"/>
  <c r="L24" i="48"/>
  <c r="K24" i="48"/>
  <c r="J24" i="48"/>
  <c r="I24" i="48"/>
  <c r="H24" i="48"/>
  <c r="T23" i="48"/>
  <c r="S23" i="48"/>
  <c r="R23" i="48"/>
  <c r="Q23" i="48"/>
  <c r="P23" i="48"/>
  <c r="O23" i="48"/>
  <c r="N23" i="48"/>
  <c r="M23" i="48"/>
  <c r="L23" i="48"/>
  <c r="K23" i="48"/>
  <c r="J23" i="48"/>
  <c r="I23" i="48"/>
  <c r="H23" i="48"/>
  <c r="T22" i="48"/>
  <c r="S22" i="48"/>
  <c r="R22" i="48"/>
  <c r="Q22" i="48"/>
  <c r="P22" i="48"/>
  <c r="O22" i="48"/>
  <c r="N22" i="48"/>
  <c r="M22" i="48"/>
  <c r="L22" i="48"/>
  <c r="K22" i="48"/>
  <c r="J22" i="48"/>
  <c r="I22" i="48"/>
  <c r="H22" i="48"/>
  <c r="T21" i="48"/>
  <c r="S21" i="48"/>
  <c r="R21" i="48"/>
  <c r="Q21" i="48"/>
  <c r="P21" i="48"/>
  <c r="O21" i="48"/>
  <c r="N21" i="48"/>
  <c r="M21" i="48"/>
  <c r="L21" i="48"/>
  <c r="K21" i="48"/>
  <c r="J21" i="48"/>
  <c r="I21" i="48"/>
  <c r="H21" i="48"/>
  <c r="T20" i="48"/>
  <c r="S20" i="48"/>
  <c r="R20" i="48"/>
  <c r="Q20" i="48"/>
  <c r="P20" i="48"/>
  <c r="O20" i="48"/>
  <c r="N20" i="48"/>
  <c r="M20" i="48"/>
  <c r="L20" i="48"/>
  <c r="K20" i="48"/>
  <c r="J20" i="48"/>
  <c r="I20" i="48"/>
  <c r="H20" i="48"/>
  <c r="T19" i="48"/>
  <c r="S19" i="48"/>
  <c r="R19" i="48"/>
  <c r="Q19" i="48"/>
  <c r="P19" i="48"/>
  <c r="O19" i="48"/>
  <c r="N19" i="48"/>
  <c r="M19" i="48"/>
  <c r="L19" i="48"/>
  <c r="K19" i="48"/>
  <c r="J19" i="48"/>
  <c r="I19" i="48"/>
  <c r="H19" i="48"/>
  <c r="T18" i="48"/>
  <c r="S18" i="48"/>
  <c r="R18" i="48"/>
  <c r="Q18" i="48"/>
  <c r="P18" i="48"/>
  <c r="O18" i="48"/>
  <c r="N18" i="48"/>
  <c r="M18" i="48"/>
  <c r="L18" i="48"/>
  <c r="K18" i="48"/>
  <c r="J18" i="48"/>
  <c r="I18" i="48"/>
  <c r="H18" i="48"/>
  <c r="T17" i="48"/>
  <c r="S17" i="48"/>
  <c r="R17" i="48"/>
  <c r="Q17" i="48"/>
  <c r="P17" i="48"/>
  <c r="O17" i="48"/>
  <c r="N17" i="48"/>
  <c r="M17" i="48"/>
  <c r="L17" i="48"/>
  <c r="K17" i="48"/>
  <c r="J17" i="48"/>
  <c r="I17" i="48"/>
  <c r="H17" i="48"/>
  <c r="T16" i="48"/>
  <c r="S16" i="48"/>
  <c r="R16" i="48"/>
  <c r="Q16" i="48"/>
  <c r="P16" i="48"/>
  <c r="O16" i="48"/>
  <c r="N16" i="48"/>
  <c r="M16" i="48"/>
  <c r="L16" i="48"/>
  <c r="K16" i="48"/>
  <c r="J16" i="48"/>
  <c r="I16" i="48"/>
  <c r="H16" i="48"/>
  <c r="T15" i="48"/>
  <c r="S15" i="48"/>
  <c r="R15" i="48"/>
  <c r="Q15" i="48"/>
  <c r="P15" i="48"/>
  <c r="O15" i="48"/>
  <c r="N15" i="48"/>
  <c r="M15" i="48"/>
  <c r="L15" i="48"/>
  <c r="K15" i="48"/>
  <c r="J15" i="48"/>
  <c r="I15" i="48"/>
  <c r="H15" i="48"/>
  <c r="T14" i="48"/>
  <c r="S14" i="48"/>
  <c r="R14" i="48"/>
  <c r="Q14" i="48"/>
  <c r="P14" i="48"/>
  <c r="O14" i="48"/>
  <c r="N14" i="48"/>
  <c r="M14" i="48"/>
  <c r="L14" i="48"/>
  <c r="K14" i="48"/>
  <c r="J14" i="48"/>
  <c r="I14" i="48"/>
  <c r="H14" i="48"/>
  <c r="T13" i="48"/>
  <c r="S13" i="48"/>
  <c r="R13" i="48"/>
  <c r="Q13" i="48"/>
  <c r="P13" i="48"/>
  <c r="O13" i="48"/>
  <c r="N13" i="48"/>
  <c r="M13" i="48"/>
  <c r="L13" i="48"/>
  <c r="K13" i="48"/>
  <c r="J13" i="48"/>
  <c r="I13" i="48"/>
  <c r="H13" i="48"/>
  <c r="T12" i="48"/>
  <c r="S12" i="48"/>
  <c r="R12" i="48"/>
  <c r="Q12" i="48"/>
  <c r="P12" i="48"/>
  <c r="O12" i="48"/>
  <c r="N12" i="48"/>
  <c r="M12" i="48"/>
  <c r="L12" i="48"/>
  <c r="K12" i="48"/>
  <c r="J12" i="48"/>
  <c r="I12" i="48"/>
  <c r="H12" i="48"/>
  <c r="T11" i="48"/>
  <c r="S11" i="48"/>
  <c r="R11" i="48"/>
  <c r="Q11" i="48"/>
  <c r="P11" i="48"/>
  <c r="O11" i="48"/>
  <c r="N11" i="48"/>
  <c r="M11" i="48"/>
  <c r="L11" i="48"/>
  <c r="K11" i="48"/>
  <c r="J11" i="48"/>
  <c r="I11" i="48"/>
  <c r="H11" i="48"/>
  <c r="T10" i="48"/>
  <c r="S10" i="48"/>
  <c r="R10" i="48"/>
  <c r="Q10" i="48"/>
  <c r="P10" i="48"/>
  <c r="O10" i="48"/>
  <c r="N10" i="48"/>
  <c r="M10" i="48"/>
  <c r="L10" i="48"/>
  <c r="K10" i="48"/>
  <c r="J10" i="48"/>
  <c r="I10" i="48"/>
  <c r="H10" i="48"/>
  <c r="T9" i="48"/>
  <c r="S9" i="48"/>
  <c r="R9" i="48"/>
  <c r="Q9" i="48"/>
  <c r="P9" i="48"/>
  <c r="O9" i="48"/>
  <c r="N9" i="48"/>
  <c r="M9" i="48"/>
  <c r="L9" i="48"/>
  <c r="K9" i="48"/>
  <c r="J9" i="48"/>
  <c r="I9" i="48"/>
  <c r="H9" i="48"/>
  <c r="T8" i="48"/>
  <c r="S8" i="48"/>
  <c r="R8" i="48"/>
  <c r="Q8" i="48"/>
  <c r="P8" i="48"/>
  <c r="O8" i="48"/>
  <c r="N8" i="48"/>
  <c r="M8" i="48"/>
  <c r="L8" i="48"/>
  <c r="K8" i="48"/>
  <c r="J8" i="48"/>
  <c r="I8" i="48"/>
  <c r="H8" i="48"/>
  <c r="T7" i="48"/>
  <c r="S7" i="48"/>
  <c r="R7" i="48"/>
  <c r="Q7" i="48"/>
  <c r="P7" i="48"/>
  <c r="O7" i="48"/>
  <c r="N7" i="48"/>
  <c r="M7" i="48"/>
  <c r="L7" i="48"/>
  <c r="K7" i="48"/>
  <c r="J7" i="48"/>
  <c r="I7" i="48"/>
  <c r="H7" i="48"/>
  <c r="T6" i="48"/>
  <c r="S6" i="48"/>
  <c r="R6" i="48"/>
  <c r="Q6" i="48"/>
  <c r="P6" i="48"/>
  <c r="O6" i="48"/>
  <c r="N6" i="48"/>
  <c r="M6" i="48"/>
  <c r="L6" i="48"/>
  <c r="K6" i="48"/>
  <c r="J6" i="48"/>
  <c r="I6" i="48"/>
  <c r="H6" i="48"/>
  <c r="T5" i="48"/>
  <c r="S5" i="48"/>
  <c r="R5" i="48"/>
  <c r="Q5" i="48"/>
  <c r="P5" i="48"/>
  <c r="O5" i="48"/>
  <c r="N5" i="48"/>
  <c r="M5" i="48"/>
  <c r="L5" i="48"/>
  <c r="K5" i="48"/>
  <c r="J5" i="48"/>
  <c r="I5" i="48"/>
  <c r="H5" i="48"/>
  <c r="T4" i="48"/>
  <c r="S4" i="48"/>
  <c r="R4" i="48"/>
  <c r="Q4" i="48"/>
  <c r="P4" i="48"/>
  <c r="O4" i="48"/>
  <c r="N4" i="48"/>
  <c r="M4" i="48"/>
  <c r="L4" i="48"/>
  <c r="K4" i="48"/>
  <c r="J4" i="48"/>
  <c r="I4" i="48"/>
  <c r="H4" i="48"/>
  <c r="T38" i="45"/>
  <c r="S38" i="45"/>
  <c r="R38" i="45"/>
  <c r="Q38" i="45"/>
  <c r="P38" i="45"/>
  <c r="O38" i="45"/>
  <c r="N38" i="45"/>
  <c r="M38" i="45"/>
  <c r="L38" i="45"/>
  <c r="K38" i="45"/>
  <c r="J38" i="45"/>
  <c r="I38" i="45"/>
  <c r="H38" i="45"/>
  <c r="T37" i="45"/>
  <c r="S37" i="45"/>
  <c r="R37" i="45"/>
  <c r="Q37" i="45"/>
  <c r="P37" i="45"/>
  <c r="O37" i="45"/>
  <c r="N37" i="45"/>
  <c r="M37" i="45"/>
  <c r="L37" i="45"/>
  <c r="K37" i="45"/>
  <c r="J37" i="45"/>
  <c r="I37" i="45"/>
  <c r="H37" i="45"/>
  <c r="T36" i="45"/>
  <c r="S36" i="45"/>
  <c r="R36" i="45"/>
  <c r="Q36" i="45"/>
  <c r="P36" i="45"/>
  <c r="O36" i="45"/>
  <c r="N36" i="45"/>
  <c r="M36" i="45"/>
  <c r="L36" i="45"/>
  <c r="K36" i="45"/>
  <c r="J36" i="45"/>
  <c r="I36" i="45"/>
  <c r="H36" i="45"/>
  <c r="T35" i="45"/>
  <c r="S35" i="45"/>
  <c r="R35" i="45"/>
  <c r="Q35" i="45"/>
  <c r="P35" i="45"/>
  <c r="O35" i="45"/>
  <c r="N35" i="45"/>
  <c r="M35" i="45"/>
  <c r="L35" i="45"/>
  <c r="K35" i="45"/>
  <c r="J35" i="45"/>
  <c r="I35" i="45"/>
  <c r="H35" i="45"/>
  <c r="T34" i="45"/>
  <c r="S34" i="45"/>
  <c r="R34" i="45"/>
  <c r="Q34" i="45"/>
  <c r="P34" i="45"/>
  <c r="O34" i="45"/>
  <c r="N34" i="45"/>
  <c r="M34" i="45"/>
  <c r="L34" i="45"/>
  <c r="K34" i="45"/>
  <c r="J34" i="45"/>
  <c r="I34" i="45"/>
  <c r="H34" i="45"/>
  <c r="T33" i="45"/>
  <c r="S33" i="45"/>
  <c r="R33" i="45"/>
  <c r="Q33" i="45"/>
  <c r="P33" i="45"/>
  <c r="O33" i="45"/>
  <c r="N33" i="45"/>
  <c r="M33" i="45"/>
  <c r="L33" i="45"/>
  <c r="K33" i="45"/>
  <c r="J33" i="45"/>
  <c r="I33" i="45"/>
  <c r="H33" i="45"/>
  <c r="T32" i="45"/>
  <c r="S32" i="45"/>
  <c r="R32" i="45"/>
  <c r="Q32" i="45"/>
  <c r="P32" i="45"/>
  <c r="O32" i="45"/>
  <c r="N32" i="45"/>
  <c r="M32" i="45"/>
  <c r="L32" i="45"/>
  <c r="K32" i="45"/>
  <c r="J32" i="45"/>
  <c r="I32" i="45"/>
  <c r="H32" i="45"/>
  <c r="T31" i="45"/>
  <c r="S31" i="45"/>
  <c r="R31" i="45"/>
  <c r="Q31" i="45"/>
  <c r="P31" i="45"/>
  <c r="O31" i="45"/>
  <c r="N31" i="45"/>
  <c r="M31" i="45"/>
  <c r="L31" i="45"/>
  <c r="K31" i="45"/>
  <c r="J31" i="45"/>
  <c r="I31" i="45"/>
  <c r="H31" i="45"/>
  <c r="T30" i="45"/>
  <c r="S30" i="45"/>
  <c r="R30" i="45"/>
  <c r="Q30" i="45"/>
  <c r="P30" i="45"/>
  <c r="O30" i="45"/>
  <c r="N30" i="45"/>
  <c r="M30" i="45"/>
  <c r="L30" i="45"/>
  <c r="K30" i="45"/>
  <c r="J30" i="45"/>
  <c r="I30" i="45"/>
  <c r="H30" i="45"/>
  <c r="T29" i="45"/>
  <c r="S29" i="45"/>
  <c r="R29" i="45"/>
  <c r="Q29" i="45"/>
  <c r="P29" i="45"/>
  <c r="O29" i="45"/>
  <c r="N29" i="45"/>
  <c r="M29" i="45"/>
  <c r="L29" i="45"/>
  <c r="K29" i="45"/>
  <c r="J29" i="45"/>
  <c r="I29" i="45"/>
  <c r="H29" i="45"/>
  <c r="T28" i="45"/>
  <c r="S28" i="45"/>
  <c r="R28" i="45"/>
  <c r="Q28" i="45"/>
  <c r="P28" i="45"/>
  <c r="O28" i="45"/>
  <c r="N28" i="45"/>
  <c r="M28" i="45"/>
  <c r="L28" i="45"/>
  <c r="K28" i="45"/>
  <c r="J28" i="45"/>
  <c r="I28" i="45"/>
  <c r="H28" i="45"/>
  <c r="T27" i="45"/>
  <c r="S27" i="45"/>
  <c r="R27" i="45"/>
  <c r="Q27" i="45"/>
  <c r="P27" i="45"/>
  <c r="O27" i="45"/>
  <c r="N27" i="45"/>
  <c r="M27" i="45"/>
  <c r="L27" i="45"/>
  <c r="K27" i="45"/>
  <c r="J27" i="45"/>
  <c r="I27" i="45"/>
  <c r="H27" i="45"/>
  <c r="T25" i="45"/>
  <c r="S25" i="45"/>
  <c r="R25" i="45"/>
  <c r="Q25" i="45"/>
  <c r="P25" i="45"/>
  <c r="O25" i="45"/>
  <c r="N25" i="45"/>
  <c r="M25" i="45"/>
  <c r="L25" i="45"/>
  <c r="K25" i="45"/>
  <c r="J25" i="45"/>
  <c r="I25" i="45"/>
  <c r="H25" i="45"/>
  <c r="T24" i="45"/>
  <c r="S24" i="45"/>
  <c r="R24" i="45"/>
  <c r="Q24" i="45"/>
  <c r="P24" i="45"/>
  <c r="O24" i="45"/>
  <c r="N24" i="45"/>
  <c r="M24" i="45"/>
  <c r="L24" i="45"/>
  <c r="K24" i="45"/>
  <c r="J24" i="45"/>
  <c r="I24" i="45"/>
  <c r="H24" i="45"/>
  <c r="T23" i="45"/>
  <c r="S23" i="45"/>
  <c r="R23" i="45"/>
  <c r="Q23" i="45"/>
  <c r="P23" i="45"/>
  <c r="O23" i="45"/>
  <c r="N23" i="45"/>
  <c r="M23" i="45"/>
  <c r="L23" i="45"/>
  <c r="K23" i="45"/>
  <c r="J23" i="45"/>
  <c r="I23" i="45"/>
  <c r="H23" i="45"/>
  <c r="T22" i="45"/>
  <c r="S22" i="45"/>
  <c r="R22" i="45"/>
  <c r="Q22" i="45"/>
  <c r="P22" i="45"/>
  <c r="O22" i="45"/>
  <c r="N22" i="45"/>
  <c r="M22" i="45"/>
  <c r="L22" i="45"/>
  <c r="K22" i="45"/>
  <c r="J22" i="45"/>
  <c r="I22" i="45"/>
  <c r="H22" i="45"/>
  <c r="T21" i="45"/>
  <c r="S21" i="45"/>
  <c r="R21" i="45"/>
  <c r="Q21" i="45"/>
  <c r="P21" i="45"/>
  <c r="O21" i="45"/>
  <c r="N21" i="45"/>
  <c r="M21" i="45"/>
  <c r="L21" i="45"/>
  <c r="K21" i="45"/>
  <c r="J21" i="45"/>
  <c r="I21" i="45"/>
  <c r="H21" i="45"/>
  <c r="T20" i="45"/>
  <c r="S20" i="45"/>
  <c r="R20" i="45"/>
  <c r="Q20" i="45"/>
  <c r="P20" i="45"/>
  <c r="O20" i="45"/>
  <c r="N20" i="45"/>
  <c r="M20" i="45"/>
  <c r="L20" i="45"/>
  <c r="K20" i="45"/>
  <c r="J20" i="45"/>
  <c r="I20" i="45"/>
  <c r="H20" i="45"/>
  <c r="T19" i="45"/>
  <c r="S19" i="45"/>
  <c r="R19" i="45"/>
  <c r="Q19" i="45"/>
  <c r="P19" i="45"/>
  <c r="O19" i="45"/>
  <c r="N19" i="45"/>
  <c r="M19" i="45"/>
  <c r="L19" i="45"/>
  <c r="K19" i="45"/>
  <c r="J19" i="45"/>
  <c r="I19" i="45"/>
  <c r="H19" i="45"/>
  <c r="T18" i="45"/>
  <c r="S18" i="45"/>
  <c r="R18" i="45"/>
  <c r="Q18" i="45"/>
  <c r="P18" i="45"/>
  <c r="O18" i="45"/>
  <c r="N18" i="45"/>
  <c r="M18" i="45"/>
  <c r="L18" i="45"/>
  <c r="K18" i="45"/>
  <c r="J18" i="45"/>
  <c r="I18" i="45"/>
  <c r="H18" i="45"/>
  <c r="T17" i="45"/>
  <c r="R17" i="45"/>
  <c r="Q17" i="45"/>
  <c r="P17" i="45"/>
  <c r="O17" i="45"/>
  <c r="N17" i="45"/>
  <c r="M17" i="45"/>
  <c r="L17" i="45"/>
  <c r="K17" i="45"/>
  <c r="J17" i="45"/>
  <c r="I17" i="45"/>
  <c r="H17" i="45"/>
  <c r="T16" i="45"/>
  <c r="S16" i="45"/>
  <c r="R16" i="45"/>
  <c r="Q16" i="45"/>
  <c r="P16" i="45"/>
  <c r="O16" i="45"/>
  <c r="N16" i="45"/>
  <c r="M16" i="45"/>
  <c r="L16" i="45"/>
  <c r="K16" i="45"/>
  <c r="J16" i="45"/>
  <c r="I16" i="45"/>
  <c r="H16" i="45"/>
  <c r="T15" i="45"/>
  <c r="S15" i="45"/>
  <c r="R15" i="45"/>
  <c r="Q15" i="45"/>
  <c r="P15" i="45"/>
  <c r="O15" i="45"/>
  <c r="N15" i="45"/>
  <c r="M15" i="45"/>
  <c r="L15" i="45"/>
  <c r="K15" i="45"/>
  <c r="J15" i="45"/>
  <c r="I15" i="45"/>
  <c r="H15" i="45"/>
  <c r="T14" i="45"/>
  <c r="S14" i="45"/>
  <c r="R14" i="45"/>
  <c r="Q14" i="45"/>
  <c r="P14" i="45"/>
  <c r="O14" i="45"/>
  <c r="N14" i="45"/>
  <c r="M14" i="45"/>
  <c r="L14" i="45"/>
  <c r="K14" i="45"/>
  <c r="J14" i="45"/>
  <c r="I14" i="45"/>
  <c r="H14" i="45"/>
  <c r="T13" i="45"/>
  <c r="S13" i="45"/>
  <c r="R13" i="45"/>
  <c r="Q13" i="45"/>
  <c r="P13" i="45"/>
  <c r="O13" i="45"/>
  <c r="N13" i="45"/>
  <c r="M13" i="45"/>
  <c r="L13" i="45"/>
  <c r="K13" i="45"/>
  <c r="J13" i="45"/>
  <c r="I13" i="45"/>
  <c r="H13" i="45"/>
  <c r="T12" i="45"/>
  <c r="S12" i="45"/>
  <c r="R12" i="45"/>
  <c r="Q12" i="45"/>
  <c r="P12" i="45"/>
  <c r="O12" i="45"/>
  <c r="N12" i="45"/>
  <c r="M12" i="45"/>
  <c r="L12" i="45"/>
  <c r="K12" i="45"/>
  <c r="J12" i="45"/>
  <c r="I12" i="45"/>
  <c r="H12" i="45"/>
  <c r="T11" i="45"/>
  <c r="S11" i="45"/>
  <c r="R11" i="45"/>
  <c r="Q11" i="45"/>
  <c r="P11" i="45"/>
  <c r="O11" i="45"/>
  <c r="N11" i="45"/>
  <c r="M11" i="45"/>
  <c r="L11" i="45"/>
  <c r="K11" i="45"/>
  <c r="J11" i="45"/>
  <c r="I11" i="45"/>
  <c r="H11" i="45"/>
  <c r="T10" i="45"/>
  <c r="S10" i="45"/>
  <c r="R10" i="45"/>
  <c r="Q10" i="45"/>
  <c r="P10" i="45"/>
  <c r="O10" i="45"/>
  <c r="N10" i="45"/>
  <c r="M10" i="45"/>
  <c r="L10" i="45"/>
  <c r="K10" i="45"/>
  <c r="J10" i="45"/>
  <c r="I10" i="45"/>
  <c r="H10" i="45"/>
  <c r="T9" i="45"/>
  <c r="S9" i="45"/>
  <c r="R9" i="45"/>
  <c r="Q9" i="45"/>
  <c r="P9" i="45"/>
  <c r="O9" i="45"/>
  <c r="N9" i="45"/>
  <c r="M9" i="45"/>
  <c r="L9" i="45"/>
  <c r="K9" i="45"/>
  <c r="J9" i="45"/>
  <c r="I9" i="45"/>
  <c r="H9" i="45"/>
  <c r="T8" i="45"/>
  <c r="S8" i="45"/>
  <c r="R8" i="45"/>
  <c r="Q8" i="45"/>
  <c r="P8" i="45"/>
  <c r="O8" i="45"/>
  <c r="N8" i="45"/>
  <c r="M8" i="45"/>
  <c r="L8" i="45"/>
  <c r="K8" i="45"/>
  <c r="J8" i="45"/>
  <c r="I8" i="45"/>
  <c r="H8" i="45"/>
  <c r="T7" i="45"/>
  <c r="S7" i="45"/>
  <c r="R7" i="45"/>
  <c r="Q7" i="45"/>
  <c r="P7" i="45"/>
  <c r="O7" i="45"/>
  <c r="N7" i="45"/>
  <c r="M7" i="45"/>
  <c r="L7" i="45"/>
  <c r="K7" i="45"/>
  <c r="J7" i="45"/>
  <c r="I7" i="45"/>
  <c r="H7" i="45"/>
  <c r="T6" i="45"/>
  <c r="S6" i="45"/>
  <c r="R6" i="45"/>
  <c r="Q6" i="45"/>
  <c r="P6" i="45"/>
  <c r="O6" i="45"/>
  <c r="N6" i="45"/>
  <c r="M6" i="45"/>
  <c r="L6" i="45"/>
  <c r="K6" i="45"/>
  <c r="J6" i="45"/>
  <c r="I6" i="45"/>
  <c r="H6" i="45"/>
  <c r="T5" i="45"/>
  <c r="S5" i="45"/>
  <c r="R5" i="45"/>
  <c r="Q5" i="45"/>
  <c r="P5" i="45"/>
  <c r="O5" i="45"/>
  <c r="N5" i="45"/>
  <c r="M5" i="45"/>
  <c r="L5" i="45"/>
  <c r="K5" i="45"/>
  <c r="J5" i="45"/>
  <c r="I5" i="45"/>
  <c r="H5" i="45"/>
  <c r="S4" i="45"/>
  <c r="R4" i="45"/>
  <c r="Q4" i="45"/>
  <c r="P4" i="45"/>
  <c r="O4" i="45"/>
  <c r="N4" i="45"/>
  <c r="M4" i="45"/>
  <c r="L4" i="45"/>
  <c r="K4" i="45"/>
  <c r="J4" i="45"/>
  <c r="I4" i="45"/>
  <c r="H4" i="45"/>
  <c r="T38" i="50"/>
  <c r="S38" i="50"/>
  <c r="R38" i="50"/>
  <c r="Q38" i="50"/>
  <c r="P38" i="50"/>
  <c r="O38" i="50"/>
  <c r="N38" i="50"/>
  <c r="M38" i="50"/>
  <c r="L38" i="50"/>
  <c r="K38" i="50"/>
  <c r="J38" i="50"/>
  <c r="I38" i="50"/>
  <c r="H38" i="50"/>
  <c r="T37" i="50"/>
  <c r="S37" i="50"/>
  <c r="R37" i="50"/>
  <c r="Q37" i="50"/>
  <c r="P37" i="50"/>
  <c r="O37" i="50"/>
  <c r="N37" i="50"/>
  <c r="M37" i="50"/>
  <c r="L37" i="50"/>
  <c r="K37" i="50"/>
  <c r="J37" i="50"/>
  <c r="I37" i="50"/>
  <c r="H37" i="50"/>
  <c r="T36" i="50"/>
  <c r="S36" i="50"/>
  <c r="R36" i="50"/>
  <c r="Q36" i="50"/>
  <c r="P36" i="50"/>
  <c r="O36" i="50"/>
  <c r="N36" i="50"/>
  <c r="M36" i="50"/>
  <c r="L36" i="50"/>
  <c r="K36" i="50"/>
  <c r="J36" i="50"/>
  <c r="I36" i="50"/>
  <c r="H36" i="50"/>
  <c r="T35" i="50"/>
  <c r="S35" i="50"/>
  <c r="R35" i="50"/>
  <c r="Q35" i="50"/>
  <c r="P35" i="50"/>
  <c r="O35" i="50"/>
  <c r="N35" i="50"/>
  <c r="M35" i="50"/>
  <c r="L35" i="50"/>
  <c r="K35" i="50"/>
  <c r="J35" i="50"/>
  <c r="I35" i="50"/>
  <c r="H35" i="50"/>
  <c r="T34" i="50"/>
  <c r="S34" i="50"/>
  <c r="R34" i="50"/>
  <c r="Q34" i="50"/>
  <c r="P34" i="50"/>
  <c r="O34" i="50"/>
  <c r="N34" i="50"/>
  <c r="M34" i="50"/>
  <c r="L34" i="50"/>
  <c r="K34" i="50"/>
  <c r="J34" i="50"/>
  <c r="I34" i="50"/>
  <c r="H34" i="50"/>
  <c r="T33" i="50"/>
  <c r="S33" i="50"/>
  <c r="R33" i="50"/>
  <c r="Q33" i="50"/>
  <c r="P33" i="50"/>
  <c r="O33" i="50"/>
  <c r="N33" i="50"/>
  <c r="M33" i="50"/>
  <c r="L33" i="50"/>
  <c r="K33" i="50"/>
  <c r="J33" i="50"/>
  <c r="I33" i="50"/>
  <c r="H33" i="50"/>
  <c r="T32" i="50"/>
  <c r="S32" i="50"/>
  <c r="R32" i="50"/>
  <c r="Q32" i="50"/>
  <c r="P32" i="50"/>
  <c r="O32" i="50"/>
  <c r="N32" i="50"/>
  <c r="M32" i="50"/>
  <c r="L32" i="50"/>
  <c r="K32" i="50"/>
  <c r="J32" i="50"/>
  <c r="I32" i="50"/>
  <c r="H32" i="50"/>
  <c r="T31" i="50"/>
  <c r="S31" i="50"/>
  <c r="R31" i="50"/>
  <c r="Q31" i="50"/>
  <c r="P31" i="50"/>
  <c r="O31" i="50"/>
  <c r="N31" i="50"/>
  <c r="M31" i="50"/>
  <c r="L31" i="50"/>
  <c r="K31" i="50"/>
  <c r="J31" i="50"/>
  <c r="I31" i="50"/>
  <c r="H31" i="50"/>
  <c r="T30" i="50"/>
  <c r="S30" i="50"/>
  <c r="R30" i="50"/>
  <c r="Q30" i="50"/>
  <c r="P30" i="50"/>
  <c r="O30" i="50"/>
  <c r="N30" i="50"/>
  <c r="M30" i="50"/>
  <c r="L30" i="50"/>
  <c r="K30" i="50"/>
  <c r="J30" i="50"/>
  <c r="I30" i="50"/>
  <c r="H30" i="50"/>
  <c r="T29" i="50"/>
  <c r="S29" i="50"/>
  <c r="R29" i="50"/>
  <c r="Q29" i="50"/>
  <c r="P29" i="50"/>
  <c r="O29" i="50"/>
  <c r="N29" i="50"/>
  <c r="M29" i="50"/>
  <c r="L29" i="50"/>
  <c r="K29" i="50"/>
  <c r="J29" i="50"/>
  <c r="I29" i="50"/>
  <c r="H29" i="50"/>
  <c r="T28" i="50"/>
  <c r="S28" i="50"/>
  <c r="R28" i="50"/>
  <c r="Q28" i="50"/>
  <c r="P28" i="50"/>
  <c r="O28" i="50"/>
  <c r="N28" i="50"/>
  <c r="M28" i="50"/>
  <c r="L28" i="50"/>
  <c r="K28" i="50"/>
  <c r="J28" i="50"/>
  <c r="I28" i="50"/>
  <c r="H28" i="50"/>
  <c r="T27" i="50"/>
  <c r="S27" i="50"/>
  <c r="R27" i="50"/>
  <c r="Q27" i="50"/>
  <c r="P27" i="50"/>
  <c r="O27" i="50"/>
  <c r="N27" i="50"/>
  <c r="M27" i="50"/>
  <c r="L27" i="50"/>
  <c r="K27" i="50"/>
  <c r="J27" i="50"/>
  <c r="I27" i="50"/>
  <c r="H27" i="50"/>
  <c r="T25" i="50"/>
  <c r="S25" i="50"/>
  <c r="R25" i="50"/>
  <c r="Q25" i="50"/>
  <c r="P25" i="50"/>
  <c r="O25" i="50"/>
  <c r="N25" i="50"/>
  <c r="M25" i="50"/>
  <c r="L25" i="50"/>
  <c r="K25" i="50"/>
  <c r="J25" i="50"/>
  <c r="I25" i="50"/>
  <c r="H25" i="50"/>
  <c r="T24" i="50"/>
  <c r="S24" i="50"/>
  <c r="R24" i="50"/>
  <c r="Q24" i="50"/>
  <c r="P24" i="50"/>
  <c r="O24" i="50"/>
  <c r="N24" i="50"/>
  <c r="M24" i="50"/>
  <c r="L24" i="50"/>
  <c r="K24" i="50"/>
  <c r="J24" i="50"/>
  <c r="I24" i="50"/>
  <c r="H24" i="50"/>
  <c r="T23" i="50"/>
  <c r="S23" i="50"/>
  <c r="R23" i="50"/>
  <c r="Q23" i="50"/>
  <c r="P23" i="50"/>
  <c r="O23" i="50"/>
  <c r="N23" i="50"/>
  <c r="M23" i="50"/>
  <c r="L23" i="50"/>
  <c r="K23" i="50"/>
  <c r="J23" i="50"/>
  <c r="I23" i="50"/>
  <c r="H23" i="50"/>
  <c r="T22" i="50"/>
  <c r="S22" i="50"/>
  <c r="R22" i="50"/>
  <c r="Q22" i="50"/>
  <c r="P22" i="50"/>
  <c r="O22" i="50"/>
  <c r="N22" i="50"/>
  <c r="M22" i="50"/>
  <c r="L22" i="50"/>
  <c r="K22" i="50"/>
  <c r="J22" i="50"/>
  <c r="I22" i="50"/>
  <c r="H22" i="50"/>
  <c r="T21" i="50"/>
  <c r="S21" i="50"/>
  <c r="R21" i="50"/>
  <c r="Q21" i="50"/>
  <c r="P21" i="50"/>
  <c r="O21" i="50"/>
  <c r="N21" i="50"/>
  <c r="M21" i="50"/>
  <c r="L21" i="50"/>
  <c r="K21" i="50"/>
  <c r="J21" i="50"/>
  <c r="I21" i="50"/>
  <c r="H21" i="50"/>
  <c r="T20" i="50"/>
  <c r="S20" i="50"/>
  <c r="R20" i="50"/>
  <c r="Q20" i="50"/>
  <c r="P20" i="50"/>
  <c r="O20" i="50"/>
  <c r="N20" i="50"/>
  <c r="M20" i="50"/>
  <c r="L20" i="50"/>
  <c r="K20" i="50"/>
  <c r="J20" i="50"/>
  <c r="I20" i="50"/>
  <c r="H20" i="50"/>
  <c r="T19" i="50"/>
  <c r="S19" i="50"/>
  <c r="R19" i="50"/>
  <c r="Q19" i="50"/>
  <c r="P19" i="50"/>
  <c r="O19" i="50"/>
  <c r="N19" i="50"/>
  <c r="M19" i="50"/>
  <c r="L19" i="50"/>
  <c r="K19" i="50"/>
  <c r="J19" i="50"/>
  <c r="I19" i="50"/>
  <c r="H19" i="50"/>
  <c r="T18" i="50"/>
  <c r="S18" i="50"/>
  <c r="R18" i="50"/>
  <c r="Q18" i="50"/>
  <c r="P18" i="50"/>
  <c r="O18" i="50"/>
  <c r="N18" i="50"/>
  <c r="M18" i="50"/>
  <c r="L18" i="50"/>
  <c r="K18" i="50"/>
  <c r="J18" i="50"/>
  <c r="I18" i="50"/>
  <c r="H18" i="50"/>
  <c r="T17" i="50"/>
  <c r="S17" i="50"/>
  <c r="R17" i="50"/>
  <c r="Q17" i="50"/>
  <c r="P17" i="50"/>
  <c r="O17" i="50"/>
  <c r="N17" i="50"/>
  <c r="M17" i="50"/>
  <c r="L17" i="50"/>
  <c r="K17" i="50"/>
  <c r="J17" i="50"/>
  <c r="I17" i="50"/>
  <c r="H17" i="50"/>
  <c r="T16" i="50"/>
  <c r="S16" i="50"/>
  <c r="R16" i="50"/>
  <c r="Q16" i="50"/>
  <c r="P16" i="50"/>
  <c r="O16" i="50"/>
  <c r="N16" i="50"/>
  <c r="M16" i="50"/>
  <c r="L16" i="50"/>
  <c r="K16" i="50"/>
  <c r="J16" i="50"/>
  <c r="I16" i="50"/>
  <c r="H16" i="50"/>
  <c r="T15" i="50"/>
  <c r="S15" i="50"/>
  <c r="R15" i="50"/>
  <c r="Q15" i="50"/>
  <c r="P15" i="50"/>
  <c r="O15" i="50"/>
  <c r="N15" i="50"/>
  <c r="M15" i="50"/>
  <c r="L15" i="50"/>
  <c r="K15" i="50"/>
  <c r="J15" i="50"/>
  <c r="I15" i="50"/>
  <c r="H15" i="50"/>
  <c r="T14" i="50"/>
  <c r="S14" i="50"/>
  <c r="R14" i="50"/>
  <c r="Q14" i="50"/>
  <c r="P14" i="50"/>
  <c r="O14" i="50"/>
  <c r="N14" i="50"/>
  <c r="M14" i="50"/>
  <c r="L14" i="50"/>
  <c r="K14" i="50"/>
  <c r="J14" i="50"/>
  <c r="I14" i="50"/>
  <c r="H14" i="50"/>
  <c r="T12" i="50"/>
  <c r="S12" i="50"/>
  <c r="R12" i="50"/>
  <c r="Q12" i="50"/>
  <c r="P12" i="50"/>
  <c r="O12" i="50"/>
  <c r="N12" i="50"/>
  <c r="M12" i="50"/>
  <c r="L12" i="50"/>
  <c r="K12" i="50"/>
  <c r="J12" i="50"/>
  <c r="I12" i="50"/>
  <c r="H12" i="50"/>
  <c r="T11" i="50"/>
  <c r="S11" i="50"/>
  <c r="R11" i="50"/>
  <c r="Q11" i="50"/>
  <c r="P11" i="50"/>
  <c r="O11" i="50"/>
  <c r="N11" i="50"/>
  <c r="M11" i="50"/>
  <c r="L11" i="50"/>
  <c r="K11" i="50"/>
  <c r="J11" i="50"/>
  <c r="I11" i="50"/>
  <c r="H11" i="50"/>
  <c r="T10" i="50"/>
  <c r="S10" i="50"/>
  <c r="R10" i="50"/>
  <c r="Q10" i="50"/>
  <c r="P10" i="50"/>
  <c r="O10" i="50"/>
  <c r="N10" i="50"/>
  <c r="M10" i="50"/>
  <c r="L10" i="50"/>
  <c r="K10" i="50"/>
  <c r="J10" i="50"/>
  <c r="I10" i="50"/>
  <c r="H10" i="50"/>
  <c r="T9" i="50"/>
  <c r="S9" i="50"/>
  <c r="R9" i="50"/>
  <c r="Q9" i="50"/>
  <c r="P9" i="50"/>
  <c r="O9" i="50"/>
  <c r="N9" i="50"/>
  <c r="M9" i="50"/>
  <c r="L9" i="50"/>
  <c r="K9" i="50"/>
  <c r="J9" i="50"/>
  <c r="I9" i="50"/>
  <c r="H9" i="50"/>
  <c r="T8" i="50"/>
  <c r="S8" i="50"/>
  <c r="R8" i="50"/>
  <c r="Q8" i="50"/>
  <c r="P8" i="50"/>
  <c r="O8" i="50"/>
  <c r="N8" i="50"/>
  <c r="M8" i="50"/>
  <c r="L8" i="50"/>
  <c r="K8" i="50"/>
  <c r="J8" i="50"/>
  <c r="I8" i="50"/>
  <c r="H8" i="50"/>
  <c r="T7" i="50"/>
  <c r="S7" i="50"/>
  <c r="R7" i="50"/>
  <c r="Q7" i="50"/>
  <c r="P7" i="50"/>
  <c r="O7" i="50"/>
  <c r="N7" i="50"/>
  <c r="M7" i="50"/>
  <c r="L7" i="50"/>
  <c r="K7" i="50"/>
  <c r="J7" i="50"/>
  <c r="I7" i="50"/>
  <c r="H7" i="50"/>
  <c r="T6" i="50"/>
  <c r="S6" i="50"/>
  <c r="R6" i="50"/>
  <c r="Q6" i="50"/>
  <c r="P6" i="50"/>
  <c r="O6" i="50"/>
  <c r="N6" i="50"/>
  <c r="M6" i="50"/>
  <c r="L6" i="50"/>
  <c r="K6" i="50"/>
  <c r="J6" i="50"/>
  <c r="I6" i="50"/>
  <c r="H6" i="50"/>
  <c r="T5" i="50"/>
  <c r="S5" i="50"/>
  <c r="R5" i="50"/>
  <c r="Q5" i="50"/>
  <c r="P5" i="50"/>
  <c r="O5" i="50"/>
  <c r="N5" i="50"/>
  <c r="M5" i="50"/>
  <c r="L5" i="50"/>
  <c r="K5" i="50"/>
  <c r="J5" i="50"/>
  <c r="I5" i="50"/>
  <c r="H5" i="50"/>
  <c r="T4" i="50"/>
  <c r="S4" i="50"/>
  <c r="R4" i="50"/>
  <c r="Q4" i="50"/>
  <c r="P4" i="50"/>
  <c r="O4" i="50"/>
  <c r="N4" i="50"/>
  <c r="M4" i="50"/>
  <c r="L4" i="50"/>
  <c r="K4" i="50"/>
  <c r="J4" i="50"/>
  <c r="I4" i="50"/>
  <c r="T36" i="49"/>
  <c r="S36" i="49"/>
  <c r="R36" i="49"/>
  <c r="Q36" i="49"/>
  <c r="P36" i="49"/>
  <c r="O36" i="49"/>
  <c r="N36" i="49"/>
  <c r="M36" i="49"/>
  <c r="L36" i="49"/>
  <c r="K36" i="49"/>
  <c r="J36" i="49"/>
  <c r="I36" i="49"/>
  <c r="H36" i="49"/>
  <c r="T35" i="49"/>
  <c r="S35" i="49"/>
  <c r="R35" i="49"/>
  <c r="Q35" i="49"/>
  <c r="P35" i="49"/>
  <c r="O35" i="49"/>
  <c r="N35" i="49"/>
  <c r="M35" i="49"/>
  <c r="L35" i="49"/>
  <c r="K35" i="49"/>
  <c r="J35" i="49"/>
  <c r="I35" i="49"/>
  <c r="H35" i="49"/>
  <c r="T34" i="49"/>
  <c r="S34" i="49"/>
  <c r="R34" i="49"/>
  <c r="Q34" i="49"/>
  <c r="P34" i="49"/>
  <c r="O34" i="49"/>
  <c r="N34" i="49"/>
  <c r="M34" i="49"/>
  <c r="L34" i="49"/>
  <c r="K34" i="49"/>
  <c r="J34" i="49"/>
  <c r="I34" i="49"/>
  <c r="H34" i="49"/>
  <c r="T33" i="49"/>
  <c r="S33" i="49"/>
  <c r="R33" i="49"/>
  <c r="Q33" i="49"/>
  <c r="P33" i="49"/>
  <c r="O33" i="49"/>
  <c r="N33" i="49"/>
  <c r="M33" i="49"/>
  <c r="L33" i="49"/>
  <c r="K33" i="49"/>
  <c r="J33" i="49"/>
  <c r="I33" i="49"/>
  <c r="H33" i="49"/>
  <c r="T32" i="49"/>
  <c r="S32" i="49"/>
  <c r="R32" i="49"/>
  <c r="Q32" i="49"/>
  <c r="P32" i="49"/>
  <c r="O32" i="49"/>
  <c r="N32" i="49"/>
  <c r="M32" i="49"/>
  <c r="L32" i="49"/>
  <c r="K32" i="49"/>
  <c r="J32" i="49"/>
  <c r="I32" i="49"/>
  <c r="H32" i="49"/>
  <c r="T31" i="49"/>
  <c r="S31" i="49"/>
  <c r="R31" i="49"/>
  <c r="Q31" i="49"/>
  <c r="P31" i="49"/>
  <c r="O31" i="49"/>
  <c r="N31" i="49"/>
  <c r="M31" i="49"/>
  <c r="L31" i="49"/>
  <c r="K31" i="49"/>
  <c r="J31" i="49"/>
  <c r="I31" i="49"/>
  <c r="H31" i="49"/>
  <c r="T30" i="49"/>
  <c r="S30" i="49"/>
  <c r="R30" i="49"/>
  <c r="Q30" i="49"/>
  <c r="P30" i="49"/>
  <c r="O30" i="49"/>
  <c r="N30" i="49"/>
  <c r="M30" i="49"/>
  <c r="L30" i="49"/>
  <c r="K30" i="49"/>
  <c r="J30" i="49"/>
  <c r="I30" i="49"/>
  <c r="H30" i="49"/>
  <c r="T29" i="49"/>
  <c r="S29" i="49"/>
  <c r="R29" i="49"/>
  <c r="Q29" i="49"/>
  <c r="P29" i="49"/>
  <c r="O29" i="49"/>
  <c r="N29" i="49"/>
  <c r="M29" i="49"/>
  <c r="L29" i="49"/>
  <c r="K29" i="49"/>
  <c r="J29" i="49"/>
  <c r="I29" i="49"/>
  <c r="H29" i="49"/>
  <c r="T28" i="49"/>
  <c r="S28" i="49"/>
  <c r="R28" i="49"/>
  <c r="Q28" i="49"/>
  <c r="P28" i="49"/>
  <c r="O28" i="49"/>
  <c r="N28" i="49"/>
  <c r="M28" i="49"/>
  <c r="L28" i="49"/>
  <c r="K28" i="49"/>
  <c r="J28" i="49"/>
  <c r="I28" i="49"/>
  <c r="H28" i="49"/>
  <c r="T27" i="49"/>
  <c r="S27" i="49"/>
  <c r="R27" i="49"/>
  <c r="Q27" i="49"/>
  <c r="P27" i="49"/>
  <c r="O27" i="49"/>
  <c r="N27" i="49"/>
  <c r="M27" i="49"/>
  <c r="L27" i="49"/>
  <c r="K27" i="49"/>
  <c r="J27" i="49"/>
  <c r="I27" i="49"/>
  <c r="H27" i="49"/>
  <c r="T25" i="49"/>
  <c r="S25" i="49"/>
  <c r="R25" i="49"/>
  <c r="Q25" i="49"/>
  <c r="P25" i="49"/>
  <c r="O25" i="49"/>
  <c r="N25" i="49"/>
  <c r="M25" i="49"/>
  <c r="L25" i="49"/>
  <c r="K25" i="49"/>
  <c r="J25" i="49"/>
  <c r="I25" i="49"/>
  <c r="H25" i="49"/>
  <c r="T24" i="49"/>
  <c r="S24" i="49"/>
  <c r="R24" i="49"/>
  <c r="Q24" i="49"/>
  <c r="P24" i="49"/>
  <c r="O24" i="49"/>
  <c r="N24" i="49"/>
  <c r="M24" i="49"/>
  <c r="L24" i="49"/>
  <c r="K24" i="49"/>
  <c r="J24" i="49"/>
  <c r="I24" i="49"/>
  <c r="H24" i="49"/>
  <c r="T23" i="49"/>
  <c r="S23" i="49"/>
  <c r="R23" i="49"/>
  <c r="Q23" i="49"/>
  <c r="P23" i="49"/>
  <c r="O23" i="49"/>
  <c r="N23" i="49"/>
  <c r="M23" i="49"/>
  <c r="L23" i="49"/>
  <c r="K23" i="49"/>
  <c r="J23" i="49"/>
  <c r="I23" i="49"/>
  <c r="H23" i="49"/>
  <c r="T22" i="49"/>
  <c r="S22" i="49"/>
  <c r="R22" i="49"/>
  <c r="Q22" i="49"/>
  <c r="P22" i="49"/>
  <c r="O22" i="49"/>
  <c r="N22" i="49"/>
  <c r="M22" i="49"/>
  <c r="L22" i="49"/>
  <c r="K22" i="49"/>
  <c r="J22" i="49"/>
  <c r="I22" i="49"/>
  <c r="H22" i="49"/>
  <c r="T21" i="49"/>
  <c r="S21" i="49"/>
  <c r="R21" i="49"/>
  <c r="Q21" i="49"/>
  <c r="P21" i="49"/>
  <c r="O21" i="49"/>
  <c r="N21" i="49"/>
  <c r="M21" i="49"/>
  <c r="L21" i="49"/>
  <c r="K21" i="49"/>
  <c r="J21" i="49"/>
  <c r="I21" i="49"/>
  <c r="H21" i="49"/>
  <c r="T20" i="49"/>
  <c r="S20" i="49"/>
  <c r="R20" i="49"/>
  <c r="Q20" i="49"/>
  <c r="P20" i="49"/>
  <c r="O20" i="49"/>
  <c r="N20" i="49"/>
  <c r="M20" i="49"/>
  <c r="L20" i="49"/>
  <c r="K20" i="49"/>
  <c r="J20" i="49"/>
  <c r="I20" i="49"/>
  <c r="H20" i="49"/>
  <c r="T19" i="49"/>
  <c r="S19" i="49"/>
  <c r="R19" i="49"/>
  <c r="Q19" i="49"/>
  <c r="P19" i="49"/>
  <c r="O19" i="49"/>
  <c r="N19" i="49"/>
  <c r="M19" i="49"/>
  <c r="L19" i="49"/>
  <c r="K19" i="49"/>
  <c r="J19" i="49"/>
  <c r="I19" i="49"/>
  <c r="H19" i="49"/>
  <c r="T18" i="49"/>
  <c r="S18" i="49"/>
  <c r="R18" i="49"/>
  <c r="Q18" i="49"/>
  <c r="P18" i="49"/>
  <c r="O18" i="49"/>
  <c r="N18" i="49"/>
  <c r="M18" i="49"/>
  <c r="L18" i="49"/>
  <c r="K18" i="49"/>
  <c r="J18" i="49"/>
  <c r="I18" i="49"/>
  <c r="H18" i="49"/>
  <c r="T17" i="49"/>
  <c r="S17" i="49"/>
  <c r="R17" i="49"/>
  <c r="Q17" i="49"/>
  <c r="P17" i="49"/>
  <c r="O17" i="49"/>
  <c r="N17" i="49"/>
  <c r="M17" i="49"/>
  <c r="L17" i="49"/>
  <c r="K17" i="49"/>
  <c r="J17" i="49"/>
  <c r="I17" i="49"/>
  <c r="H17" i="49"/>
  <c r="T16" i="49"/>
  <c r="S16" i="49"/>
  <c r="R16" i="49"/>
  <c r="Q16" i="49"/>
  <c r="P16" i="49"/>
  <c r="O16" i="49"/>
  <c r="N16" i="49"/>
  <c r="M16" i="49"/>
  <c r="L16" i="49"/>
  <c r="K16" i="49"/>
  <c r="J16" i="49"/>
  <c r="I16" i="49"/>
  <c r="H16" i="49"/>
  <c r="T15" i="49"/>
  <c r="S15" i="49"/>
  <c r="R15" i="49"/>
  <c r="Q15" i="49"/>
  <c r="P15" i="49"/>
  <c r="O15" i="49"/>
  <c r="N15" i="49"/>
  <c r="M15" i="49"/>
  <c r="L15" i="49"/>
  <c r="K15" i="49"/>
  <c r="J15" i="49"/>
  <c r="I15" i="49"/>
  <c r="H15" i="49"/>
  <c r="T14" i="49"/>
  <c r="S14" i="49"/>
  <c r="R14" i="49"/>
  <c r="Q14" i="49"/>
  <c r="P14" i="49"/>
  <c r="O14" i="49"/>
  <c r="N14" i="49"/>
  <c r="M14" i="49"/>
  <c r="L14" i="49"/>
  <c r="K14" i="49"/>
  <c r="J14" i="49"/>
  <c r="I14" i="49"/>
  <c r="H14" i="49"/>
  <c r="T12" i="49"/>
  <c r="S12" i="49"/>
  <c r="R12" i="49"/>
  <c r="Q12" i="49"/>
  <c r="P12" i="49"/>
  <c r="O12" i="49"/>
  <c r="N12" i="49"/>
  <c r="M12" i="49"/>
  <c r="L12" i="49"/>
  <c r="K12" i="49"/>
  <c r="J12" i="49"/>
  <c r="I12" i="49"/>
  <c r="H12" i="49"/>
  <c r="T11" i="49"/>
  <c r="S11" i="49"/>
  <c r="R11" i="49"/>
  <c r="Q11" i="49"/>
  <c r="P11" i="49"/>
  <c r="O11" i="49"/>
  <c r="N11" i="49"/>
  <c r="M11" i="49"/>
  <c r="L11" i="49"/>
  <c r="K11" i="49"/>
  <c r="J11" i="49"/>
  <c r="I11" i="49"/>
  <c r="H11" i="49"/>
  <c r="T10" i="49"/>
  <c r="S10" i="49"/>
  <c r="R10" i="49"/>
  <c r="Q10" i="49"/>
  <c r="P10" i="49"/>
  <c r="O10" i="49"/>
  <c r="N10" i="49"/>
  <c r="M10" i="49"/>
  <c r="L10" i="49"/>
  <c r="K10" i="49"/>
  <c r="J10" i="49"/>
  <c r="I10" i="49"/>
  <c r="H10" i="49"/>
  <c r="T9" i="49"/>
  <c r="S9" i="49"/>
  <c r="R9" i="49"/>
  <c r="Q9" i="49"/>
  <c r="P9" i="49"/>
  <c r="O9" i="49"/>
  <c r="N9" i="49"/>
  <c r="M9" i="49"/>
  <c r="L9" i="49"/>
  <c r="K9" i="49"/>
  <c r="J9" i="49"/>
  <c r="I9" i="49"/>
  <c r="H9" i="49"/>
  <c r="T8" i="49"/>
  <c r="S8" i="49"/>
  <c r="R8" i="49"/>
  <c r="Q8" i="49"/>
  <c r="P8" i="49"/>
  <c r="O8" i="49"/>
  <c r="N8" i="49"/>
  <c r="M8" i="49"/>
  <c r="L8" i="49"/>
  <c r="K8" i="49"/>
  <c r="J8" i="49"/>
  <c r="I8" i="49"/>
  <c r="H8" i="49"/>
  <c r="T7" i="49"/>
  <c r="S7" i="49"/>
  <c r="R7" i="49"/>
  <c r="Q7" i="49"/>
  <c r="P7" i="49"/>
  <c r="O7" i="49"/>
  <c r="N7" i="49"/>
  <c r="M7" i="49"/>
  <c r="L7" i="49"/>
  <c r="K7" i="49"/>
  <c r="J7" i="49"/>
  <c r="I7" i="49"/>
  <c r="H7" i="49"/>
  <c r="T6" i="49"/>
  <c r="S6" i="49"/>
  <c r="R6" i="49"/>
  <c r="Q6" i="49"/>
  <c r="P6" i="49"/>
  <c r="O6" i="49"/>
  <c r="N6" i="49"/>
  <c r="M6" i="49"/>
  <c r="L6" i="49"/>
  <c r="K6" i="49"/>
  <c r="J6" i="49"/>
  <c r="I6" i="49"/>
  <c r="H6" i="49"/>
  <c r="T5" i="49"/>
  <c r="S5" i="49"/>
  <c r="R5" i="49"/>
  <c r="Q5" i="49"/>
  <c r="P5" i="49"/>
  <c r="O5" i="49"/>
  <c r="N5" i="49"/>
  <c r="M5" i="49"/>
  <c r="L5" i="49"/>
  <c r="K5" i="49"/>
  <c r="J5" i="49"/>
  <c r="I5" i="49"/>
  <c r="H5" i="49"/>
  <c r="T4" i="49"/>
  <c r="S4" i="49"/>
  <c r="R4" i="49"/>
  <c r="Q4" i="49"/>
  <c r="P4" i="49"/>
  <c r="O4" i="49"/>
  <c r="N4" i="49"/>
  <c r="M4" i="49"/>
  <c r="L4" i="49"/>
  <c r="K4" i="49"/>
  <c r="J4" i="49"/>
  <c r="I4" i="49"/>
  <c r="P14" i="39" l="1"/>
  <c r="P13" i="39"/>
  <c r="P15" i="39" s="1"/>
  <c r="P33" i="39" s="1"/>
  <c r="D3" i="51"/>
  <c r="E3" i="51" s="1"/>
  <c r="F3" i="51" s="1"/>
  <c r="G3" i="51" s="1"/>
  <c r="H3" i="51" s="1"/>
  <c r="I3" i="51" s="1"/>
  <c r="J3" i="51" s="1"/>
  <c r="K3" i="51" s="1"/>
  <c r="L3" i="51" s="1"/>
  <c r="M3" i="51" s="1"/>
  <c r="N3" i="51" s="1"/>
  <c r="O3" i="51" s="1"/>
  <c r="P3" i="51" s="1"/>
  <c r="Q3" i="51" s="1"/>
  <c r="R3" i="51" s="1"/>
  <c r="S3" i="51" s="1"/>
  <c r="T3" i="51" s="1"/>
  <c r="P34" i="39" l="1"/>
  <c r="P34" i="42"/>
  <c r="P35" i="39"/>
  <c r="E12" i="48"/>
  <c r="D12" i="48"/>
  <c r="C12" i="48"/>
  <c r="D3" i="48"/>
  <c r="E3" i="48" s="1"/>
  <c r="F3" i="48" s="1"/>
  <c r="G3" i="48" s="1"/>
  <c r="H3" i="48" s="1"/>
  <c r="I3" i="48" s="1"/>
  <c r="J3" i="48" s="1"/>
  <c r="K3" i="48" s="1"/>
  <c r="L3" i="48" s="1"/>
  <c r="M3" i="48" s="1"/>
  <c r="N3" i="48" s="1"/>
  <c r="O3" i="48" s="1"/>
  <c r="P3" i="48" s="1"/>
  <c r="Q3" i="48" s="1"/>
  <c r="R3" i="48" s="1"/>
  <c r="S3" i="48" s="1"/>
  <c r="T3" i="48" s="1"/>
  <c r="H29" i="47"/>
  <c r="I29" i="47"/>
  <c r="J29" i="47"/>
  <c r="K29" i="47"/>
  <c r="L29" i="47"/>
  <c r="M29" i="47"/>
  <c r="N29" i="47"/>
  <c r="O29" i="47"/>
  <c r="P29" i="47"/>
  <c r="Q29" i="47"/>
  <c r="R29" i="47"/>
  <c r="S29" i="47"/>
  <c r="T29" i="47"/>
  <c r="H30" i="47"/>
  <c r="I30" i="47"/>
  <c r="J30" i="47"/>
  <c r="K30" i="47"/>
  <c r="L30" i="47"/>
  <c r="M30" i="47"/>
  <c r="N30" i="47"/>
  <c r="O30" i="47"/>
  <c r="P30" i="47"/>
  <c r="Q30" i="47"/>
  <c r="R30" i="47"/>
  <c r="S30" i="47"/>
  <c r="T30" i="47"/>
  <c r="H31" i="47"/>
  <c r="I31" i="47"/>
  <c r="J31" i="47"/>
  <c r="K31" i="47"/>
  <c r="L31" i="47"/>
  <c r="M31" i="47"/>
  <c r="N31" i="47"/>
  <c r="O31" i="47"/>
  <c r="P31" i="47"/>
  <c r="Q31" i="47"/>
  <c r="R31" i="47"/>
  <c r="S31" i="47"/>
  <c r="T31" i="47"/>
  <c r="H32" i="47"/>
  <c r="I32" i="47"/>
  <c r="J32" i="47"/>
  <c r="K32" i="47"/>
  <c r="L32" i="47"/>
  <c r="M32" i="47"/>
  <c r="N32" i="47"/>
  <c r="O32" i="47"/>
  <c r="P32" i="47"/>
  <c r="Q32" i="47"/>
  <c r="R32" i="47"/>
  <c r="S32" i="47"/>
  <c r="T32" i="47"/>
  <c r="H33" i="47"/>
  <c r="I33" i="47"/>
  <c r="J33" i="47"/>
  <c r="K33" i="47"/>
  <c r="L33" i="47"/>
  <c r="M33" i="47"/>
  <c r="N33" i="47"/>
  <c r="O33" i="47"/>
  <c r="P33" i="47"/>
  <c r="Q33" i="47"/>
  <c r="R33" i="47"/>
  <c r="S33" i="47"/>
  <c r="T33" i="47"/>
  <c r="H34" i="47"/>
  <c r="I34" i="47"/>
  <c r="J34" i="47"/>
  <c r="K34" i="47"/>
  <c r="L34" i="47"/>
  <c r="M34" i="47"/>
  <c r="N34" i="47"/>
  <c r="O34" i="47"/>
  <c r="P34" i="47"/>
  <c r="Q34" i="47"/>
  <c r="R34" i="47"/>
  <c r="S34" i="47"/>
  <c r="T34" i="47"/>
  <c r="H35" i="47"/>
  <c r="I35" i="47"/>
  <c r="J35" i="47"/>
  <c r="K35" i="47"/>
  <c r="L35" i="47"/>
  <c r="M35" i="47"/>
  <c r="N35" i="47"/>
  <c r="O35" i="47"/>
  <c r="P35" i="47"/>
  <c r="Q35" i="47"/>
  <c r="R35" i="47"/>
  <c r="S35" i="47"/>
  <c r="T35" i="47"/>
  <c r="H36" i="47"/>
  <c r="I36" i="47"/>
  <c r="J36" i="47"/>
  <c r="K36" i="47"/>
  <c r="L36" i="47"/>
  <c r="M36" i="47"/>
  <c r="N36" i="47"/>
  <c r="O36" i="47"/>
  <c r="P36" i="47"/>
  <c r="Q36" i="47"/>
  <c r="R36" i="47"/>
  <c r="S36" i="47"/>
  <c r="T36" i="47"/>
  <c r="J28" i="47"/>
  <c r="K28" i="47"/>
  <c r="L28" i="47"/>
  <c r="M28" i="47"/>
  <c r="N28" i="47"/>
  <c r="O28" i="47"/>
  <c r="P28" i="47"/>
  <c r="Q28" i="47"/>
  <c r="R28" i="47"/>
  <c r="S28" i="47"/>
  <c r="T28" i="47"/>
  <c r="I28" i="47"/>
  <c r="H28" i="47"/>
  <c r="J27" i="47"/>
  <c r="K27" i="47"/>
  <c r="L27" i="47"/>
  <c r="M27" i="47"/>
  <c r="N27" i="47"/>
  <c r="O27" i="47"/>
  <c r="P27" i="47"/>
  <c r="Q27" i="47"/>
  <c r="R27" i="47"/>
  <c r="S27" i="47"/>
  <c r="T27" i="47"/>
  <c r="I27" i="47"/>
  <c r="H27" i="47"/>
  <c r="H6" i="47"/>
  <c r="I6" i="47"/>
  <c r="J6" i="47"/>
  <c r="K6" i="47"/>
  <c r="L6" i="47"/>
  <c r="M6" i="47"/>
  <c r="N6" i="47"/>
  <c r="O6" i="47"/>
  <c r="P6" i="47"/>
  <c r="Q6" i="47"/>
  <c r="R6" i="47"/>
  <c r="S6" i="47"/>
  <c r="T6" i="47"/>
  <c r="H7" i="47"/>
  <c r="I7" i="47"/>
  <c r="J7" i="47"/>
  <c r="K7" i="47"/>
  <c r="L7" i="47"/>
  <c r="M7" i="47"/>
  <c r="N7" i="47"/>
  <c r="O7" i="47"/>
  <c r="P7" i="47"/>
  <c r="Q7" i="47"/>
  <c r="R7" i="47"/>
  <c r="S7" i="47"/>
  <c r="T7" i="47"/>
  <c r="H8" i="47"/>
  <c r="I8" i="47"/>
  <c r="J8" i="47"/>
  <c r="K8" i="47"/>
  <c r="L8" i="47"/>
  <c r="M8" i="47"/>
  <c r="N8" i="47"/>
  <c r="O8" i="47"/>
  <c r="P8" i="47"/>
  <c r="Q8" i="47"/>
  <c r="R8" i="47"/>
  <c r="S8" i="47"/>
  <c r="T8" i="47"/>
  <c r="H9" i="47"/>
  <c r="I9" i="47"/>
  <c r="J9" i="47"/>
  <c r="K9" i="47"/>
  <c r="L9" i="47"/>
  <c r="M9" i="47"/>
  <c r="N9" i="47"/>
  <c r="O9" i="47"/>
  <c r="P9" i="47"/>
  <c r="Q9" i="47"/>
  <c r="R9" i="47"/>
  <c r="S9" i="47"/>
  <c r="T9" i="47"/>
  <c r="H10" i="47"/>
  <c r="I10" i="47"/>
  <c r="J10" i="47"/>
  <c r="K10" i="47"/>
  <c r="L10" i="47"/>
  <c r="M10" i="47"/>
  <c r="N10" i="47"/>
  <c r="O10" i="47"/>
  <c r="P10" i="47"/>
  <c r="Q10" i="47"/>
  <c r="R10" i="47"/>
  <c r="S10" i="47"/>
  <c r="T10" i="47"/>
  <c r="H11" i="47"/>
  <c r="I11" i="47"/>
  <c r="J11" i="47"/>
  <c r="K11" i="47"/>
  <c r="L11" i="47"/>
  <c r="M11" i="47"/>
  <c r="N11" i="47"/>
  <c r="O11" i="47"/>
  <c r="P11" i="47"/>
  <c r="Q11" i="47"/>
  <c r="R11" i="47"/>
  <c r="S11" i="47"/>
  <c r="T11" i="47"/>
  <c r="H12" i="47"/>
  <c r="I12" i="47"/>
  <c r="J12" i="47"/>
  <c r="K12" i="47"/>
  <c r="L12" i="47"/>
  <c r="M12" i="47"/>
  <c r="N12" i="47"/>
  <c r="O12" i="47"/>
  <c r="P12" i="47"/>
  <c r="Q12" i="47"/>
  <c r="R12" i="47"/>
  <c r="S12" i="47"/>
  <c r="T12" i="47"/>
  <c r="H14" i="47"/>
  <c r="I14" i="47"/>
  <c r="J14" i="47"/>
  <c r="K14" i="47"/>
  <c r="L14" i="47"/>
  <c r="M14" i="47"/>
  <c r="N14" i="47"/>
  <c r="O14" i="47"/>
  <c r="P14" i="47"/>
  <c r="Q14" i="47"/>
  <c r="R14" i="47"/>
  <c r="S14" i="47"/>
  <c r="T14" i="47"/>
  <c r="H15" i="47"/>
  <c r="I15" i="47"/>
  <c r="J15" i="47"/>
  <c r="K15" i="47"/>
  <c r="L15" i="47"/>
  <c r="M15" i="47"/>
  <c r="N15" i="47"/>
  <c r="O15" i="47"/>
  <c r="P15" i="47"/>
  <c r="Q15" i="47"/>
  <c r="R15" i="47"/>
  <c r="S15" i="47"/>
  <c r="T15" i="47"/>
  <c r="H16" i="47"/>
  <c r="I16" i="47"/>
  <c r="J16" i="47"/>
  <c r="K16" i="47"/>
  <c r="L16" i="47"/>
  <c r="M16" i="47"/>
  <c r="N16" i="47"/>
  <c r="O16" i="47"/>
  <c r="P16" i="47"/>
  <c r="Q16" i="47"/>
  <c r="R16" i="47"/>
  <c r="S16" i="47"/>
  <c r="T16" i="47"/>
  <c r="H17" i="47"/>
  <c r="I17" i="47"/>
  <c r="J17" i="47"/>
  <c r="K17" i="47"/>
  <c r="L17" i="47"/>
  <c r="M17" i="47"/>
  <c r="N17" i="47"/>
  <c r="O17" i="47"/>
  <c r="P17" i="47"/>
  <c r="Q17" i="47"/>
  <c r="R17" i="47"/>
  <c r="S17" i="47"/>
  <c r="T17" i="47"/>
  <c r="H18" i="47"/>
  <c r="I18" i="47"/>
  <c r="J18" i="47"/>
  <c r="K18" i="47"/>
  <c r="L18" i="47"/>
  <c r="M18" i="47"/>
  <c r="N18" i="47"/>
  <c r="O18" i="47"/>
  <c r="P18" i="47"/>
  <c r="Q18" i="47"/>
  <c r="R18" i="47"/>
  <c r="S18" i="47"/>
  <c r="T18" i="47"/>
  <c r="H19" i="47"/>
  <c r="I19" i="47"/>
  <c r="J19" i="47"/>
  <c r="K19" i="47"/>
  <c r="L19" i="47"/>
  <c r="M19" i="47"/>
  <c r="N19" i="47"/>
  <c r="O19" i="47"/>
  <c r="P19" i="47"/>
  <c r="Q19" i="47"/>
  <c r="R19" i="47"/>
  <c r="S19" i="47"/>
  <c r="T19" i="47"/>
  <c r="H20" i="47"/>
  <c r="I20" i="47"/>
  <c r="J20" i="47"/>
  <c r="K20" i="47"/>
  <c r="L20" i="47"/>
  <c r="M20" i="47"/>
  <c r="N20" i="47"/>
  <c r="O20" i="47"/>
  <c r="P20" i="47"/>
  <c r="Q20" i="47"/>
  <c r="R20" i="47"/>
  <c r="S20" i="47"/>
  <c r="T20" i="47"/>
  <c r="H21" i="47"/>
  <c r="I21" i="47"/>
  <c r="J21" i="47"/>
  <c r="K21" i="47"/>
  <c r="L21" i="47"/>
  <c r="M21" i="47"/>
  <c r="N21" i="47"/>
  <c r="O21" i="47"/>
  <c r="P21" i="47"/>
  <c r="Q21" i="47"/>
  <c r="R21" i="47"/>
  <c r="S21" i="47"/>
  <c r="T21" i="47"/>
  <c r="H22" i="47"/>
  <c r="I22" i="47"/>
  <c r="J22" i="47"/>
  <c r="K22" i="47"/>
  <c r="L22" i="47"/>
  <c r="M22" i="47"/>
  <c r="N22" i="47"/>
  <c r="O22" i="47"/>
  <c r="P22" i="47"/>
  <c r="Q22" i="47"/>
  <c r="R22" i="47"/>
  <c r="S22" i="47"/>
  <c r="T22" i="47"/>
  <c r="H23" i="47"/>
  <c r="I23" i="47"/>
  <c r="J23" i="47"/>
  <c r="K23" i="47"/>
  <c r="L23" i="47"/>
  <c r="M23" i="47"/>
  <c r="N23" i="47"/>
  <c r="O23" i="47"/>
  <c r="P23" i="47"/>
  <c r="Q23" i="47"/>
  <c r="R23" i="47"/>
  <c r="S23" i="47"/>
  <c r="T23" i="47"/>
  <c r="H24" i="47"/>
  <c r="I24" i="47"/>
  <c r="J24" i="47"/>
  <c r="K24" i="47"/>
  <c r="L24" i="47"/>
  <c r="M24" i="47"/>
  <c r="N24" i="47"/>
  <c r="O24" i="47"/>
  <c r="P24" i="47"/>
  <c r="Q24" i="47"/>
  <c r="R24" i="47"/>
  <c r="S24" i="47"/>
  <c r="T24" i="47"/>
  <c r="H25" i="47"/>
  <c r="I25" i="47"/>
  <c r="J25" i="47"/>
  <c r="K25" i="47"/>
  <c r="L25" i="47"/>
  <c r="M25" i="47"/>
  <c r="N25" i="47"/>
  <c r="O25" i="47"/>
  <c r="P25" i="47"/>
  <c r="Q25" i="47"/>
  <c r="R25" i="47"/>
  <c r="S25" i="47"/>
  <c r="T25" i="47"/>
  <c r="J5" i="47"/>
  <c r="K5" i="47"/>
  <c r="L5" i="47"/>
  <c r="M5" i="47"/>
  <c r="N5" i="47"/>
  <c r="O5" i="47"/>
  <c r="P5" i="47"/>
  <c r="Q5" i="47"/>
  <c r="R5" i="47"/>
  <c r="S5" i="47"/>
  <c r="T5" i="47"/>
  <c r="I5" i="47"/>
  <c r="H5" i="47"/>
  <c r="J4" i="47"/>
  <c r="K4" i="47"/>
  <c r="L4" i="47"/>
  <c r="M4" i="47"/>
  <c r="N4" i="47"/>
  <c r="O4" i="47"/>
  <c r="P4" i="47"/>
  <c r="Q4" i="47"/>
  <c r="R4" i="47"/>
  <c r="S4" i="47"/>
  <c r="T4" i="47"/>
  <c r="I4" i="47"/>
  <c r="H4" i="47"/>
  <c r="D3" i="47"/>
  <c r="E3" i="47" s="1"/>
  <c r="F3" i="47" s="1"/>
  <c r="G3" i="47" s="1"/>
  <c r="H3" i="47" s="1"/>
  <c r="I3" i="47" s="1"/>
  <c r="J3" i="47" s="1"/>
  <c r="K3" i="47" s="1"/>
  <c r="L3" i="47" s="1"/>
  <c r="M3" i="47" s="1"/>
  <c r="N3" i="47" s="1"/>
  <c r="O3" i="47" s="1"/>
  <c r="P3" i="47" s="1"/>
  <c r="Q3" i="47" s="1"/>
  <c r="R3" i="47" s="1"/>
  <c r="S3" i="47" s="1"/>
  <c r="T3" i="47" s="1"/>
  <c r="H28" i="44"/>
  <c r="H29" i="44"/>
  <c r="I29" i="44"/>
  <c r="J29" i="44"/>
  <c r="K29" i="44"/>
  <c r="L29" i="44"/>
  <c r="M29" i="44"/>
  <c r="N29" i="44"/>
  <c r="O29" i="44"/>
  <c r="P29" i="44"/>
  <c r="Q29" i="44"/>
  <c r="R29" i="44"/>
  <c r="S29" i="44"/>
  <c r="T29" i="44"/>
  <c r="H30" i="44"/>
  <c r="I30" i="44"/>
  <c r="J30" i="44"/>
  <c r="K30" i="44"/>
  <c r="L30" i="44"/>
  <c r="M30" i="44"/>
  <c r="N30" i="44"/>
  <c r="O30" i="44"/>
  <c r="P30" i="44"/>
  <c r="Q30" i="44"/>
  <c r="R30" i="44"/>
  <c r="S30" i="44"/>
  <c r="T30" i="44"/>
  <c r="H31" i="44"/>
  <c r="I31" i="44"/>
  <c r="J31" i="44"/>
  <c r="K31" i="44"/>
  <c r="L31" i="44"/>
  <c r="M31" i="44"/>
  <c r="N31" i="44"/>
  <c r="O31" i="44"/>
  <c r="P31" i="44"/>
  <c r="Q31" i="44"/>
  <c r="R31" i="44"/>
  <c r="S31" i="44"/>
  <c r="T31" i="44"/>
  <c r="H32" i="44"/>
  <c r="I32" i="44"/>
  <c r="J32" i="44"/>
  <c r="K32" i="44"/>
  <c r="L32" i="44"/>
  <c r="M32" i="44"/>
  <c r="N32" i="44"/>
  <c r="O32" i="44"/>
  <c r="P32" i="44"/>
  <c r="Q32" i="44"/>
  <c r="R32" i="44"/>
  <c r="S32" i="44"/>
  <c r="T32" i="44"/>
  <c r="H33" i="44"/>
  <c r="I33" i="44"/>
  <c r="J33" i="44"/>
  <c r="K33" i="44"/>
  <c r="L33" i="44"/>
  <c r="M33" i="44"/>
  <c r="N33" i="44"/>
  <c r="O33" i="44"/>
  <c r="P33" i="44"/>
  <c r="Q33" i="44"/>
  <c r="R33" i="44"/>
  <c r="S33" i="44"/>
  <c r="T33" i="44"/>
  <c r="H34" i="44"/>
  <c r="I34" i="44"/>
  <c r="J34" i="44"/>
  <c r="K34" i="44"/>
  <c r="L34" i="44"/>
  <c r="M34" i="44"/>
  <c r="N34" i="44"/>
  <c r="O34" i="44"/>
  <c r="P34" i="44"/>
  <c r="Q34" i="44"/>
  <c r="R34" i="44"/>
  <c r="S34" i="44"/>
  <c r="T34" i="44"/>
  <c r="H35" i="44"/>
  <c r="I35" i="44"/>
  <c r="J35" i="44"/>
  <c r="K35" i="44"/>
  <c r="L35" i="44"/>
  <c r="M35" i="44"/>
  <c r="N35" i="44"/>
  <c r="O35" i="44"/>
  <c r="P35" i="44"/>
  <c r="Q35" i="44"/>
  <c r="R35" i="44"/>
  <c r="S35" i="44"/>
  <c r="T35" i="44"/>
  <c r="H36" i="44"/>
  <c r="I36" i="44"/>
  <c r="J36" i="44"/>
  <c r="K36" i="44"/>
  <c r="L36" i="44"/>
  <c r="M36" i="44"/>
  <c r="N36" i="44"/>
  <c r="O36" i="44"/>
  <c r="P36" i="44"/>
  <c r="Q36" i="44"/>
  <c r="R36" i="44"/>
  <c r="S36" i="44"/>
  <c r="T36" i="44"/>
  <c r="J28" i="44"/>
  <c r="K28" i="44"/>
  <c r="L28" i="44"/>
  <c r="M28" i="44"/>
  <c r="N28" i="44"/>
  <c r="O28" i="44"/>
  <c r="P28" i="44"/>
  <c r="Q28" i="44"/>
  <c r="R28" i="44"/>
  <c r="S28" i="44"/>
  <c r="T28" i="44"/>
  <c r="I28" i="44"/>
  <c r="J27" i="44"/>
  <c r="K27" i="44"/>
  <c r="L27" i="44"/>
  <c r="M27" i="44"/>
  <c r="N27" i="44"/>
  <c r="O27" i="44"/>
  <c r="P27" i="44"/>
  <c r="Q27" i="44"/>
  <c r="R27" i="44"/>
  <c r="S27" i="44"/>
  <c r="T27" i="44"/>
  <c r="I27" i="44"/>
  <c r="H27" i="44"/>
  <c r="H6" i="44"/>
  <c r="I6" i="44"/>
  <c r="J6" i="44"/>
  <c r="K6" i="44"/>
  <c r="L6" i="44"/>
  <c r="M6" i="44"/>
  <c r="N6" i="44"/>
  <c r="O6" i="44"/>
  <c r="P6" i="44"/>
  <c r="Q6" i="44"/>
  <c r="R6" i="44"/>
  <c r="S6" i="44"/>
  <c r="T6" i="44"/>
  <c r="H7" i="44"/>
  <c r="I7" i="44"/>
  <c r="J7" i="44"/>
  <c r="K7" i="44"/>
  <c r="L7" i="44"/>
  <c r="M7" i="44"/>
  <c r="N7" i="44"/>
  <c r="O7" i="44"/>
  <c r="P7" i="44"/>
  <c r="Q7" i="44"/>
  <c r="R7" i="44"/>
  <c r="S7" i="44"/>
  <c r="T7" i="44"/>
  <c r="H8" i="44"/>
  <c r="I8" i="44"/>
  <c r="J8" i="44"/>
  <c r="K8" i="44"/>
  <c r="L8" i="44"/>
  <c r="M8" i="44"/>
  <c r="N8" i="44"/>
  <c r="O8" i="44"/>
  <c r="P8" i="44"/>
  <c r="Q8" i="44"/>
  <c r="R8" i="44"/>
  <c r="S8" i="44"/>
  <c r="T8" i="44"/>
  <c r="H9" i="44"/>
  <c r="I9" i="44"/>
  <c r="J9" i="44"/>
  <c r="K9" i="44"/>
  <c r="L9" i="44"/>
  <c r="M9" i="44"/>
  <c r="N9" i="44"/>
  <c r="O9" i="44"/>
  <c r="P9" i="44"/>
  <c r="Q9" i="44"/>
  <c r="R9" i="44"/>
  <c r="S9" i="44"/>
  <c r="T9" i="44"/>
  <c r="H10" i="44"/>
  <c r="I10" i="44"/>
  <c r="J10" i="44"/>
  <c r="K10" i="44"/>
  <c r="L10" i="44"/>
  <c r="M10" i="44"/>
  <c r="N10" i="44"/>
  <c r="O10" i="44"/>
  <c r="P10" i="44"/>
  <c r="Q10" i="44"/>
  <c r="R10" i="44"/>
  <c r="S10" i="44"/>
  <c r="T10" i="44"/>
  <c r="H11" i="44"/>
  <c r="I11" i="44"/>
  <c r="J11" i="44"/>
  <c r="K11" i="44"/>
  <c r="L11" i="44"/>
  <c r="M11" i="44"/>
  <c r="N11" i="44"/>
  <c r="O11" i="44"/>
  <c r="P11" i="44"/>
  <c r="Q11" i="44"/>
  <c r="R11" i="44"/>
  <c r="S11" i="44"/>
  <c r="T11" i="44"/>
  <c r="H12" i="44"/>
  <c r="I12" i="44"/>
  <c r="J12" i="44"/>
  <c r="K12" i="44"/>
  <c r="L12" i="44"/>
  <c r="M12" i="44"/>
  <c r="N12" i="44"/>
  <c r="O12" i="44"/>
  <c r="P12" i="44"/>
  <c r="Q12" i="44"/>
  <c r="R12" i="44"/>
  <c r="S12" i="44"/>
  <c r="T12" i="44"/>
  <c r="H14" i="44"/>
  <c r="I14" i="44"/>
  <c r="J14" i="44"/>
  <c r="K14" i="44"/>
  <c r="L14" i="44"/>
  <c r="M14" i="44"/>
  <c r="N14" i="44"/>
  <c r="O14" i="44"/>
  <c r="P14" i="44"/>
  <c r="Q14" i="44"/>
  <c r="R14" i="44"/>
  <c r="S14" i="44"/>
  <c r="T14" i="44"/>
  <c r="H15" i="44"/>
  <c r="I15" i="44"/>
  <c r="J15" i="44"/>
  <c r="K15" i="44"/>
  <c r="L15" i="44"/>
  <c r="M15" i="44"/>
  <c r="N15" i="44"/>
  <c r="O15" i="44"/>
  <c r="P15" i="44"/>
  <c r="Q15" i="44"/>
  <c r="R15" i="44"/>
  <c r="S15" i="44"/>
  <c r="T15" i="44"/>
  <c r="H16" i="44"/>
  <c r="I16" i="44"/>
  <c r="J16" i="44"/>
  <c r="K16" i="44"/>
  <c r="L16" i="44"/>
  <c r="M16" i="44"/>
  <c r="N16" i="44"/>
  <c r="O16" i="44"/>
  <c r="P16" i="44"/>
  <c r="Q16" i="44"/>
  <c r="R16" i="44"/>
  <c r="S16" i="44"/>
  <c r="T16" i="44"/>
  <c r="H17" i="44"/>
  <c r="I17" i="44"/>
  <c r="J17" i="44"/>
  <c r="K17" i="44"/>
  <c r="L17" i="44"/>
  <c r="M17" i="44"/>
  <c r="N17" i="44"/>
  <c r="O17" i="44"/>
  <c r="P17" i="44"/>
  <c r="Q17" i="44"/>
  <c r="R17" i="44"/>
  <c r="T17" i="44"/>
  <c r="H18" i="44"/>
  <c r="I18" i="44"/>
  <c r="J18" i="44"/>
  <c r="K18" i="44"/>
  <c r="L18" i="44"/>
  <c r="M18" i="44"/>
  <c r="N18" i="44"/>
  <c r="O18" i="44"/>
  <c r="P18" i="44"/>
  <c r="Q18" i="44"/>
  <c r="R18" i="44"/>
  <c r="S18" i="44"/>
  <c r="T18" i="44"/>
  <c r="H19" i="44"/>
  <c r="I19" i="44"/>
  <c r="J19" i="44"/>
  <c r="K19" i="44"/>
  <c r="L19" i="44"/>
  <c r="M19" i="44"/>
  <c r="N19" i="44"/>
  <c r="O19" i="44"/>
  <c r="P19" i="44"/>
  <c r="Q19" i="44"/>
  <c r="R19" i="44"/>
  <c r="S19" i="44"/>
  <c r="T19" i="44"/>
  <c r="H20" i="44"/>
  <c r="I20" i="44"/>
  <c r="J20" i="44"/>
  <c r="K20" i="44"/>
  <c r="L20" i="44"/>
  <c r="M20" i="44"/>
  <c r="N20" i="44"/>
  <c r="O20" i="44"/>
  <c r="P20" i="44"/>
  <c r="Q20" i="44"/>
  <c r="R20" i="44"/>
  <c r="S20" i="44"/>
  <c r="T20" i="44"/>
  <c r="H21" i="44"/>
  <c r="I21" i="44"/>
  <c r="J21" i="44"/>
  <c r="K21" i="44"/>
  <c r="L21" i="44"/>
  <c r="M21" i="44"/>
  <c r="N21" i="44"/>
  <c r="O21" i="44"/>
  <c r="P21" i="44"/>
  <c r="Q21" i="44"/>
  <c r="R21" i="44"/>
  <c r="S21" i="44"/>
  <c r="T21" i="44"/>
  <c r="H22" i="44"/>
  <c r="I22" i="44"/>
  <c r="J22" i="44"/>
  <c r="K22" i="44"/>
  <c r="L22" i="44"/>
  <c r="M22" i="44"/>
  <c r="N22" i="44"/>
  <c r="O22" i="44"/>
  <c r="P22" i="44"/>
  <c r="Q22" i="44"/>
  <c r="R22" i="44"/>
  <c r="S22" i="44"/>
  <c r="T22" i="44"/>
  <c r="H23" i="44"/>
  <c r="I23" i="44"/>
  <c r="J23" i="44"/>
  <c r="K23" i="44"/>
  <c r="L23" i="44"/>
  <c r="M23" i="44"/>
  <c r="N23" i="44"/>
  <c r="O23" i="44"/>
  <c r="P23" i="44"/>
  <c r="Q23" i="44"/>
  <c r="R23" i="44"/>
  <c r="S23" i="44"/>
  <c r="T23" i="44"/>
  <c r="H24" i="44"/>
  <c r="I24" i="44"/>
  <c r="J24" i="44"/>
  <c r="K24" i="44"/>
  <c r="L24" i="44"/>
  <c r="M24" i="44"/>
  <c r="N24" i="44"/>
  <c r="O24" i="44"/>
  <c r="P24" i="44"/>
  <c r="Q24" i="44"/>
  <c r="R24" i="44"/>
  <c r="S24" i="44"/>
  <c r="T24" i="44"/>
  <c r="H25" i="44"/>
  <c r="I25" i="44"/>
  <c r="J25" i="44"/>
  <c r="K25" i="44"/>
  <c r="L25" i="44"/>
  <c r="M25" i="44"/>
  <c r="N25" i="44"/>
  <c r="O25" i="44"/>
  <c r="P25" i="44"/>
  <c r="Q25" i="44"/>
  <c r="R25" i="44"/>
  <c r="S25" i="44"/>
  <c r="T25" i="44"/>
  <c r="J5" i="44"/>
  <c r="K5" i="44"/>
  <c r="L5" i="44"/>
  <c r="M5" i="44"/>
  <c r="N5" i="44"/>
  <c r="O5" i="44"/>
  <c r="P5" i="44"/>
  <c r="Q5" i="44"/>
  <c r="R5" i="44"/>
  <c r="S5" i="44"/>
  <c r="T5" i="44"/>
  <c r="I5" i="44"/>
  <c r="H5" i="44"/>
  <c r="K4" i="44"/>
  <c r="L4" i="44"/>
  <c r="M4" i="44"/>
  <c r="N4" i="44"/>
  <c r="O4" i="44"/>
  <c r="P4" i="44"/>
  <c r="Q4" i="44"/>
  <c r="R4" i="44"/>
  <c r="S4" i="44"/>
  <c r="T4" i="44"/>
  <c r="J4" i="44"/>
  <c r="I4" i="44"/>
  <c r="H4" i="44"/>
  <c r="P35" i="42" l="1"/>
  <c r="P36" i="42"/>
  <c r="D3" i="46"/>
  <c r="E3" i="46" s="1"/>
  <c r="F3" i="46" s="1"/>
  <c r="G3" i="46" s="1"/>
  <c r="H3" i="46" s="1"/>
  <c r="I3" i="46" s="1"/>
  <c r="J3" i="46" s="1"/>
  <c r="K3" i="46" s="1"/>
  <c r="L3" i="46" s="1"/>
  <c r="M3" i="46" s="1"/>
  <c r="N3" i="46" s="1"/>
  <c r="O3" i="46" s="1"/>
  <c r="P3" i="46" s="1"/>
  <c r="Q3" i="46" s="1"/>
  <c r="R3" i="46" s="1"/>
  <c r="S3" i="46" s="1"/>
  <c r="T3" i="46" s="1"/>
  <c r="U3" i="46" s="1"/>
  <c r="E12" i="45" l="1"/>
  <c r="D12" i="45"/>
  <c r="C12" i="45"/>
  <c r="D3" i="45"/>
  <c r="E3" i="45" s="1"/>
  <c r="F3" i="45" s="1"/>
  <c r="G3" i="45" s="1"/>
  <c r="H3" i="45" s="1"/>
  <c r="I3" i="45" s="1"/>
  <c r="J3" i="45" s="1"/>
  <c r="K3" i="45" s="1"/>
  <c r="L3" i="45" s="1"/>
  <c r="M3" i="45" s="1"/>
  <c r="N3" i="45" s="1"/>
  <c r="O3" i="45" s="1"/>
  <c r="P3" i="45" s="1"/>
  <c r="Q3" i="45" s="1"/>
  <c r="R3" i="45" s="1"/>
  <c r="S3" i="45" s="1"/>
  <c r="E12" i="44"/>
  <c r="D12" i="44"/>
  <c r="C12" i="44"/>
  <c r="D3" i="44"/>
  <c r="E3" i="44" s="1"/>
  <c r="F3" i="44" s="1"/>
  <c r="G3" i="44" s="1"/>
  <c r="H3" i="44" s="1"/>
  <c r="I3" i="44" s="1"/>
  <c r="J3" i="44" s="1"/>
  <c r="K3" i="44" s="1"/>
  <c r="L3" i="44" s="1"/>
  <c r="M3" i="44" s="1"/>
  <c r="N3" i="44" s="1"/>
  <c r="O3" i="44" s="1"/>
  <c r="P3" i="44" s="1"/>
  <c r="Q3" i="44" s="1"/>
  <c r="R3" i="44" s="1"/>
  <c r="S3" i="44" s="1"/>
  <c r="T3" i="44" s="1"/>
  <c r="D32" i="42" l="1"/>
  <c r="E32" i="42" s="1"/>
  <c r="F32" i="42" s="1"/>
  <c r="G32" i="42" s="1"/>
  <c r="H32" i="42" s="1"/>
  <c r="I32" i="42" s="1"/>
  <c r="J32" i="42" s="1"/>
  <c r="K32" i="42" s="1"/>
  <c r="L32" i="42" s="1"/>
  <c r="M32" i="42" s="1"/>
  <c r="N32" i="42" s="1"/>
  <c r="O32" i="42" s="1"/>
  <c r="O26" i="42"/>
  <c r="O27" i="42" s="1"/>
  <c r="N26" i="42"/>
  <c r="N27" i="42" s="1"/>
  <c r="M26" i="42"/>
  <c r="M27" i="42" s="1"/>
  <c r="L26" i="42"/>
  <c r="L27" i="42" s="1"/>
  <c r="K26" i="42"/>
  <c r="K27" i="42" s="1"/>
  <c r="J26" i="42"/>
  <c r="J28" i="42" s="1"/>
  <c r="I26" i="42"/>
  <c r="I28" i="42" s="1"/>
  <c r="H26" i="42"/>
  <c r="H28" i="42" s="1"/>
  <c r="G26" i="42"/>
  <c r="G27" i="42" s="1"/>
  <c r="F26" i="42"/>
  <c r="F27" i="42" s="1"/>
  <c r="E26" i="42"/>
  <c r="E27" i="42" s="1"/>
  <c r="D26" i="42"/>
  <c r="D27" i="42" s="1"/>
  <c r="C26" i="42"/>
  <c r="C27" i="42" s="1"/>
  <c r="D24" i="42"/>
  <c r="E24" i="42" s="1"/>
  <c r="F24" i="42" s="1"/>
  <c r="G24" i="42" s="1"/>
  <c r="H24" i="42" s="1"/>
  <c r="I24" i="42" s="1"/>
  <c r="J24" i="42" s="1"/>
  <c r="K24" i="42" s="1"/>
  <c r="L24" i="42" s="1"/>
  <c r="M24" i="42" s="1"/>
  <c r="N24" i="42" s="1"/>
  <c r="O24" i="42" s="1"/>
  <c r="P24" i="42" s="1"/>
  <c r="O17" i="42"/>
  <c r="N17" i="42"/>
  <c r="M17" i="42"/>
  <c r="D10" i="42"/>
  <c r="E10" i="42" s="1"/>
  <c r="F10" i="42" s="1"/>
  <c r="G10" i="42" s="1"/>
  <c r="H10" i="42" s="1"/>
  <c r="I10" i="42" s="1"/>
  <c r="J10" i="42" s="1"/>
  <c r="K10" i="42" s="1"/>
  <c r="L10" i="42" s="1"/>
  <c r="M10" i="42" s="1"/>
  <c r="N10" i="42" s="1"/>
  <c r="O10" i="42" s="1"/>
  <c r="P10" i="42" s="1"/>
  <c r="D4" i="42"/>
  <c r="E4" i="42" s="1"/>
  <c r="F4" i="42" s="1"/>
  <c r="G4" i="42" s="1"/>
  <c r="H4" i="42" s="1"/>
  <c r="I4" i="42" s="1"/>
  <c r="J4" i="42" s="1"/>
  <c r="K4" i="42" s="1"/>
  <c r="L4" i="42" s="1"/>
  <c r="M4" i="42" s="1"/>
  <c r="N4" i="42" s="1"/>
  <c r="O4" i="42" s="1"/>
  <c r="P4" i="42" s="1"/>
  <c r="J27" i="42" l="1"/>
  <c r="J29" i="42" s="1"/>
  <c r="E28" i="42"/>
  <c r="M28" i="42"/>
  <c r="E29" i="42"/>
  <c r="M29" i="42"/>
  <c r="H27" i="42"/>
  <c r="H29" i="42" s="1"/>
  <c r="C28" i="42"/>
  <c r="C29" i="42" s="1"/>
  <c r="K28" i="42"/>
  <c r="K29" i="42" s="1"/>
  <c r="I27" i="42"/>
  <c r="I29" i="42" s="1"/>
  <c r="D28" i="42"/>
  <c r="D29" i="42" s="1"/>
  <c r="L28" i="42"/>
  <c r="L29" i="42" s="1"/>
  <c r="F28" i="42"/>
  <c r="F29" i="42" s="1"/>
  <c r="N28" i="42"/>
  <c r="N29" i="42" s="1"/>
  <c r="G28" i="42"/>
  <c r="G29" i="42" s="1"/>
  <c r="O28" i="42"/>
  <c r="O29" i="42" s="1"/>
  <c r="C7" i="38"/>
  <c r="C39" i="34" l="1"/>
  <c r="S9" i="31" l="1"/>
  <c r="R9" i="31"/>
  <c r="Q9" i="31"/>
  <c r="P9" i="31"/>
  <c r="O9" i="31"/>
  <c r="N9" i="31"/>
  <c r="G9" i="31"/>
  <c r="S8" i="31"/>
  <c r="R8" i="31"/>
  <c r="Q8" i="31"/>
  <c r="P8" i="31"/>
  <c r="O8" i="31"/>
  <c r="N8" i="31"/>
  <c r="K8" i="31"/>
  <c r="J8" i="31"/>
  <c r="I8" i="31"/>
  <c r="H8" i="31"/>
  <c r="G8" i="31"/>
  <c r="S18" i="31"/>
  <c r="R18" i="31"/>
  <c r="Q18" i="31"/>
  <c r="P18" i="31"/>
  <c r="O17" i="31"/>
  <c r="N17" i="31" s="1"/>
  <c r="S14" i="31"/>
  <c r="R14" i="31"/>
  <c r="Q14" i="31"/>
  <c r="P14" i="31"/>
  <c r="O13" i="31"/>
  <c r="O14" i="31" s="1"/>
  <c r="T41" i="40"/>
  <c r="S41" i="40"/>
  <c r="R41" i="40"/>
  <c r="Q41" i="40"/>
  <c r="P41" i="40"/>
  <c r="O41" i="40"/>
  <c r="N41" i="40"/>
  <c r="M41" i="40"/>
  <c r="L41" i="40"/>
  <c r="K41" i="40"/>
  <c r="J41" i="40"/>
  <c r="I41" i="40"/>
  <c r="H41" i="40"/>
  <c r="M17" i="31" l="1"/>
  <c r="N18" i="31"/>
  <c r="O18" i="31"/>
  <c r="N13" i="31"/>
  <c r="H6" i="31"/>
  <c r="H9" i="31" s="1"/>
  <c r="M13" i="31" l="1"/>
  <c r="N14" i="31"/>
  <c r="L17" i="31"/>
  <c r="M18" i="31"/>
  <c r="T40" i="40"/>
  <c r="S40" i="40"/>
  <c r="R40" i="40"/>
  <c r="Q40" i="40"/>
  <c r="P40" i="40"/>
  <c r="O40" i="40"/>
  <c r="N40" i="40"/>
  <c r="M40" i="40"/>
  <c r="L40" i="40"/>
  <c r="K40" i="40"/>
  <c r="J40" i="40"/>
  <c r="I40" i="40"/>
  <c r="H40" i="40"/>
  <c r="K17" i="31" l="1"/>
  <c r="L18" i="31"/>
  <c r="L13" i="31"/>
  <c r="M14" i="31"/>
  <c r="F15" i="33"/>
  <c r="F16" i="33" s="1"/>
  <c r="E15" i="33"/>
  <c r="E16" i="33" s="1"/>
  <c r="D15" i="33"/>
  <c r="D16" i="33" s="1"/>
  <c r="C14" i="33"/>
  <c r="K13" i="31" l="1"/>
  <c r="L14" i="31"/>
  <c r="J17" i="31"/>
  <c r="K18" i="31"/>
  <c r="D10" i="39"/>
  <c r="E10" i="39" s="1"/>
  <c r="F10" i="39" s="1"/>
  <c r="G10" i="39" s="1"/>
  <c r="H10" i="39" s="1"/>
  <c r="I10" i="39" s="1"/>
  <c r="J10" i="39" s="1"/>
  <c r="K10" i="39" s="1"/>
  <c r="L10" i="39" s="1"/>
  <c r="M10" i="39" s="1"/>
  <c r="N10" i="39" s="1"/>
  <c r="O10" i="39" s="1"/>
  <c r="N40" i="29"/>
  <c r="I17" i="31" l="1"/>
  <c r="J18" i="31"/>
  <c r="K14" i="31"/>
  <c r="J13" i="31"/>
  <c r="I13" i="31" l="1"/>
  <c r="J14" i="31"/>
  <c r="H17" i="31"/>
  <c r="I18" i="31"/>
  <c r="S10" i="31"/>
  <c r="R10" i="31"/>
  <c r="Q10" i="31"/>
  <c r="P10" i="31"/>
  <c r="O10" i="31"/>
  <c r="N10" i="31"/>
  <c r="G10" i="31"/>
  <c r="F10" i="31"/>
  <c r="E10" i="31"/>
  <c r="D10" i="31"/>
  <c r="C10" i="31"/>
  <c r="G17" i="31" l="1"/>
  <c r="G18" i="31" s="1"/>
  <c r="H18" i="31"/>
  <c r="H13" i="31"/>
  <c r="I14" i="31"/>
  <c r="S17" i="45"/>
  <c r="S17" i="44" l="1"/>
  <c r="G13" i="31"/>
  <c r="H14" i="31"/>
  <c r="G14" i="31" l="1"/>
  <c r="F13" i="31"/>
  <c r="F14" i="31" l="1"/>
  <c r="E13" i="31"/>
  <c r="O24" i="39"/>
  <c r="O25" i="39" s="1"/>
  <c r="N24" i="39"/>
  <c r="N25" i="39" s="1"/>
  <c r="M24" i="39"/>
  <c r="M25" i="39" s="1"/>
  <c r="L24" i="39"/>
  <c r="O27" i="39"/>
  <c r="O28" i="39" s="1"/>
  <c r="N27" i="39"/>
  <c r="N28" i="39" s="1"/>
  <c r="M27" i="39"/>
  <c r="M28" i="39" s="1"/>
  <c r="L27" i="39"/>
  <c r="E14" i="31" l="1"/>
  <c r="D13" i="31"/>
  <c r="L25" i="39"/>
  <c r="K24" i="39"/>
  <c r="L28" i="39"/>
  <c r="K27" i="39"/>
  <c r="O19" i="39"/>
  <c r="N19" i="39"/>
  <c r="K19" i="39"/>
  <c r="J19" i="39"/>
  <c r="I19" i="39"/>
  <c r="H19" i="39"/>
  <c r="G19" i="39"/>
  <c r="F19" i="39"/>
  <c r="E19" i="39"/>
  <c r="D19" i="39"/>
  <c r="C19" i="39"/>
  <c r="O18" i="39"/>
  <c r="N18" i="39"/>
  <c r="M18" i="39"/>
  <c r="L18" i="39"/>
  <c r="K18" i="39"/>
  <c r="J18" i="39"/>
  <c r="C18" i="39"/>
  <c r="F9" i="31"/>
  <c r="E9" i="31"/>
  <c r="D9" i="31"/>
  <c r="C9" i="31"/>
  <c r="F8" i="31"/>
  <c r="E8" i="31"/>
  <c r="D8" i="31"/>
  <c r="C8" i="31"/>
  <c r="S7" i="31"/>
  <c r="R7" i="31"/>
  <c r="Q7" i="31"/>
  <c r="P7" i="31"/>
  <c r="O7" i="31"/>
  <c r="N7" i="31"/>
  <c r="G7" i="31"/>
  <c r="F7" i="31"/>
  <c r="E7" i="31"/>
  <c r="D7" i="31"/>
  <c r="C7" i="31"/>
  <c r="K6" i="31"/>
  <c r="K9" i="31" s="1"/>
  <c r="J6" i="31"/>
  <c r="I6" i="31"/>
  <c r="D18" i="39"/>
  <c r="L5" i="31"/>
  <c r="D3" i="31"/>
  <c r="E3" i="31" s="1"/>
  <c r="F3" i="31" s="1"/>
  <c r="G3" i="31" s="1"/>
  <c r="H3" i="31" s="1"/>
  <c r="I3" i="31" s="1"/>
  <c r="J3" i="31" s="1"/>
  <c r="K3" i="31" s="1"/>
  <c r="L3" i="31" s="1"/>
  <c r="M3" i="31" s="1"/>
  <c r="N3" i="31" s="1"/>
  <c r="O3" i="31" s="1"/>
  <c r="P3" i="31" s="1"/>
  <c r="Q3" i="31" s="1"/>
  <c r="R3" i="31" s="1"/>
  <c r="S3" i="31" s="1"/>
  <c r="T3" i="31" s="1"/>
  <c r="E18" i="39" l="1"/>
  <c r="I9" i="31"/>
  <c r="F18" i="39"/>
  <c r="J9" i="31"/>
  <c r="L6" i="31"/>
  <c r="L8" i="31"/>
  <c r="C13" i="31"/>
  <c r="C14" i="31" s="1"/>
  <c r="D14" i="31"/>
  <c r="E21" i="39"/>
  <c r="C21" i="39"/>
  <c r="N21" i="39"/>
  <c r="O21" i="39"/>
  <c r="D21" i="39"/>
  <c r="F21" i="39"/>
  <c r="J21" i="39"/>
  <c r="K21" i="39"/>
  <c r="L21" i="39"/>
  <c r="M21" i="39"/>
  <c r="K28" i="39"/>
  <c r="J27" i="39"/>
  <c r="K25" i="39"/>
  <c r="J24" i="39"/>
  <c r="J10" i="31"/>
  <c r="K10" i="31"/>
  <c r="G18" i="39"/>
  <c r="L19" i="39"/>
  <c r="H10" i="31"/>
  <c r="I10" i="31"/>
  <c r="H7" i="31"/>
  <c r="I7" i="31"/>
  <c r="J7" i="31"/>
  <c r="K7" i="31"/>
  <c r="M5" i="31"/>
  <c r="H18" i="39" l="1"/>
  <c r="H21" i="39" s="1"/>
  <c r="L9" i="31"/>
  <c r="L10" i="31"/>
  <c r="L7" i="31"/>
  <c r="M19" i="39"/>
  <c r="M8" i="31"/>
  <c r="G21" i="39"/>
  <c r="J25" i="39"/>
  <c r="I24" i="39"/>
  <c r="J28" i="39"/>
  <c r="I27" i="39"/>
  <c r="M6" i="31"/>
  <c r="M9" i="31" s="1"/>
  <c r="H27" i="39" l="1"/>
  <c r="I28" i="39"/>
  <c r="H24" i="39"/>
  <c r="I25" i="39"/>
  <c r="M10" i="31"/>
  <c r="I18" i="39"/>
  <c r="M7" i="31"/>
  <c r="D4" i="39"/>
  <c r="E4" i="39" s="1"/>
  <c r="F4" i="39" s="1"/>
  <c r="G4" i="39" s="1"/>
  <c r="H4" i="39" s="1"/>
  <c r="I4" i="39" s="1"/>
  <c r="J4" i="39" s="1"/>
  <c r="K4" i="39" s="1"/>
  <c r="L4" i="39" s="1"/>
  <c r="M4" i="39" s="1"/>
  <c r="N4" i="39" s="1"/>
  <c r="O4" i="39" s="1"/>
  <c r="P4" i="39" s="1"/>
  <c r="I21" i="39" l="1"/>
  <c r="G24" i="39"/>
  <c r="H25" i="39"/>
  <c r="G27" i="39"/>
  <c r="H28" i="39"/>
  <c r="O20" i="39"/>
  <c r="J20" i="39"/>
  <c r="C20" i="39"/>
  <c r="K20" i="39"/>
  <c r="N20" i="39"/>
  <c r="D20" i="39"/>
  <c r="G20" i="39"/>
  <c r="E20" i="39"/>
  <c r="F20" i="39"/>
  <c r="M20" i="39"/>
  <c r="L20" i="39"/>
  <c r="F27" i="39" l="1"/>
  <c r="G28" i="39"/>
  <c r="F24" i="39"/>
  <c r="G25" i="39"/>
  <c r="E24" i="39" l="1"/>
  <c r="F25" i="39"/>
  <c r="E27" i="39"/>
  <c r="F28" i="39"/>
  <c r="D27" i="39" l="1"/>
  <c r="E28" i="39"/>
  <c r="D24" i="39"/>
  <c r="E25" i="39"/>
  <c r="C24" i="39" l="1"/>
  <c r="C25" i="39" s="1"/>
  <c r="D25" i="39"/>
  <c r="C27" i="39"/>
  <c r="C28" i="39" s="1"/>
  <c r="D28" i="39"/>
  <c r="E12" i="35" l="1"/>
  <c r="D12" i="35"/>
  <c r="C12" i="35"/>
  <c r="X38" i="32" l="1"/>
  <c r="X37" i="32"/>
  <c r="X36" i="32"/>
  <c r="X35" i="32"/>
  <c r="X34" i="32"/>
  <c r="X33" i="32"/>
  <c r="X32" i="32"/>
  <c r="X31" i="32"/>
  <c r="X30" i="32"/>
  <c r="X29" i="32"/>
  <c r="X28" i="32"/>
  <c r="X27" i="32"/>
  <c r="X25" i="32"/>
  <c r="X24" i="32"/>
  <c r="X23" i="32"/>
  <c r="X22" i="32"/>
  <c r="X21" i="32"/>
  <c r="X20" i="32"/>
  <c r="X19" i="32"/>
  <c r="X18" i="32"/>
  <c r="X17" i="32"/>
  <c r="X16" i="32"/>
  <c r="X15" i="32"/>
  <c r="X14" i="32"/>
  <c r="X13" i="32"/>
  <c r="X12" i="32"/>
  <c r="X11" i="32"/>
  <c r="X10" i="32"/>
  <c r="X9" i="32"/>
  <c r="X8" i="32"/>
  <c r="X7" i="32"/>
  <c r="X6" i="32"/>
  <c r="X5" i="32"/>
  <c r="X4" i="32"/>
  <c r="T39" i="35" l="1"/>
  <c r="S39" i="35"/>
  <c r="R39" i="35"/>
  <c r="Q39" i="35"/>
  <c r="P39" i="35"/>
  <c r="O39" i="35"/>
  <c r="N39" i="35"/>
  <c r="M39" i="35"/>
  <c r="L39" i="35"/>
  <c r="K39" i="35"/>
  <c r="J39" i="35"/>
  <c r="I39" i="35"/>
  <c r="H39" i="35"/>
  <c r="G39" i="35"/>
  <c r="F39" i="35"/>
  <c r="E39" i="35"/>
  <c r="D39" i="35"/>
  <c r="C39" i="35"/>
  <c r="D3" i="35"/>
  <c r="E3" i="35" s="1"/>
  <c r="F3" i="35" s="1"/>
  <c r="G3" i="35" s="1"/>
  <c r="H3" i="35" s="1"/>
  <c r="I3" i="35" s="1"/>
  <c r="J3" i="35" s="1"/>
  <c r="K3" i="35" s="1"/>
  <c r="L3" i="35" s="1"/>
  <c r="M3" i="35" s="1"/>
  <c r="N3" i="35" s="1"/>
  <c r="O3" i="35" s="1"/>
  <c r="P3" i="35" s="1"/>
  <c r="Q3" i="35" s="1"/>
  <c r="R3" i="35" s="1"/>
  <c r="S3" i="35" s="1"/>
  <c r="T3" i="35" s="1"/>
  <c r="T39" i="32"/>
  <c r="O12" i="42" s="1"/>
  <c r="O14" i="42" s="1"/>
  <c r="O19" i="42" s="1"/>
  <c r="S39" i="32"/>
  <c r="N12" i="42" s="1"/>
  <c r="N14" i="42" s="1"/>
  <c r="N19" i="42" s="1"/>
  <c r="R39" i="32"/>
  <c r="M12" i="42" s="1"/>
  <c r="M14" i="42" s="1"/>
  <c r="M19" i="42" s="1"/>
  <c r="Q39" i="32"/>
  <c r="L12" i="42" s="1"/>
  <c r="L14" i="42" s="1"/>
  <c r="L19" i="42" s="1"/>
  <c r="P39" i="32"/>
  <c r="K12" i="42" s="1"/>
  <c r="K14" i="42" s="1"/>
  <c r="K19" i="42" s="1"/>
  <c r="O39" i="32"/>
  <c r="J12" i="42" s="1"/>
  <c r="J14" i="42" s="1"/>
  <c r="J19" i="42" s="1"/>
  <c r="N39" i="32"/>
  <c r="I12" i="42" s="1"/>
  <c r="I14" i="42" s="1"/>
  <c r="I19" i="42" s="1"/>
  <c r="M39" i="32"/>
  <c r="H12" i="42" s="1"/>
  <c r="H14" i="42" s="1"/>
  <c r="H19" i="42" s="1"/>
  <c r="L39" i="32"/>
  <c r="G12" i="42" s="1"/>
  <c r="G14" i="42" s="1"/>
  <c r="G19" i="42" s="1"/>
  <c r="K39" i="32"/>
  <c r="F12" i="42" s="1"/>
  <c r="F14" i="42" s="1"/>
  <c r="F19" i="42" s="1"/>
  <c r="J39" i="32"/>
  <c r="E12" i="42" s="1"/>
  <c r="E14" i="42" s="1"/>
  <c r="E19" i="42" s="1"/>
  <c r="I39" i="32"/>
  <c r="D12" i="42" s="1"/>
  <c r="D14" i="42" s="1"/>
  <c r="D19" i="42" s="1"/>
  <c r="H39" i="32"/>
  <c r="C12" i="42" s="1"/>
  <c r="C14" i="42" s="1"/>
  <c r="C19" i="42" s="1"/>
  <c r="G39" i="32"/>
  <c r="F39" i="32"/>
  <c r="F40" i="32" s="1"/>
  <c r="E39" i="32"/>
  <c r="E40" i="32" s="1"/>
  <c r="D39" i="32"/>
  <c r="D40" i="32" s="1"/>
  <c r="C39" i="32"/>
  <c r="C40" i="32" s="1"/>
  <c r="M38" i="34"/>
  <c r="N38" i="34" s="1"/>
  <c r="H38" i="34"/>
  <c r="I38" i="34" s="1"/>
  <c r="M37" i="34"/>
  <c r="N37" i="34" s="1"/>
  <c r="H37" i="34"/>
  <c r="M36" i="34"/>
  <c r="N36" i="34" s="1"/>
  <c r="H36" i="34"/>
  <c r="I36" i="34" s="1"/>
  <c r="M35" i="34"/>
  <c r="N35" i="34" s="1"/>
  <c r="H35" i="34"/>
  <c r="I35" i="34" s="1"/>
  <c r="M34" i="34"/>
  <c r="N34" i="34" s="1"/>
  <c r="H34" i="34"/>
  <c r="I34" i="34" s="1"/>
  <c r="M33" i="34"/>
  <c r="N33" i="34" s="1"/>
  <c r="H33" i="34"/>
  <c r="I33" i="34" s="1"/>
  <c r="M32" i="34"/>
  <c r="N32" i="34" s="1"/>
  <c r="H32" i="34"/>
  <c r="I32" i="34" s="1"/>
  <c r="M31" i="34"/>
  <c r="N31" i="34" s="1"/>
  <c r="H31" i="34"/>
  <c r="I31" i="34" s="1"/>
  <c r="M30" i="34"/>
  <c r="N30" i="34" s="1"/>
  <c r="H30" i="34"/>
  <c r="I30" i="34" s="1"/>
  <c r="M29" i="34"/>
  <c r="N29" i="34" s="1"/>
  <c r="H29" i="34"/>
  <c r="I29" i="34" s="1"/>
  <c r="M28" i="34"/>
  <c r="N28" i="34" s="1"/>
  <c r="H28" i="34"/>
  <c r="I28" i="34" s="1"/>
  <c r="M27" i="34"/>
  <c r="N27" i="34" s="1"/>
  <c r="H27" i="34"/>
  <c r="I27" i="34" s="1"/>
  <c r="M26" i="34"/>
  <c r="N26" i="34" s="1"/>
  <c r="H26" i="34"/>
  <c r="I26" i="34" s="1"/>
  <c r="M25" i="34"/>
  <c r="N25" i="34" s="1"/>
  <c r="H25" i="34"/>
  <c r="I25" i="34" s="1"/>
  <c r="M24" i="34"/>
  <c r="N24" i="34" s="1"/>
  <c r="H24" i="34"/>
  <c r="I24" i="34" s="1"/>
  <c r="M23" i="34"/>
  <c r="N23" i="34" s="1"/>
  <c r="H23" i="34"/>
  <c r="I23" i="34" s="1"/>
  <c r="M22" i="34"/>
  <c r="N22" i="34" s="1"/>
  <c r="H22" i="34"/>
  <c r="I22" i="34" s="1"/>
  <c r="M21" i="34"/>
  <c r="N21" i="34" s="1"/>
  <c r="H21" i="34"/>
  <c r="I21" i="34" s="1"/>
  <c r="M20" i="34"/>
  <c r="N20" i="34" s="1"/>
  <c r="H20" i="34"/>
  <c r="I20" i="34" s="1"/>
  <c r="M19" i="34"/>
  <c r="N19" i="34" s="1"/>
  <c r="H19" i="34"/>
  <c r="I19" i="34" s="1"/>
  <c r="M18" i="34"/>
  <c r="N18" i="34" s="1"/>
  <c r="H18" i="34"/>
  <c r="I18" i="34" s="1"/>
  <c r="M17" i="34"/>
  <c r="N17" i="34" s="1"/>
  <c r="H17" i="34"/>
  <c r="I17" i="34" s="1"/>
  <c r="M16" i="34"/>
  <c r="N16" i="34" s="1"/>
  <c r="H16" i="34"/>
  <c r="I16" i="34" s="1"/>
  <c r="M15" i="34"/>
  <c r="N15" i="34" s="1"/>
  <c r="H15" i="34"/>
  <c r="I15" i="34" s="1"/>
  <c r="M14" i="34"/>
  <c r="N14" i="34" s="1"/>
  <c r="H14" i="34"/>
  <c r="I14" i="34" s="1"/>
  <c r="M13" i="34"/>
  <c r="N13" i="34" s="1"/>
  <c r="H13" i="34"/>
  <c r="I13" i="34" s="1"/>
  <c r="M12" i="34"/>
  <c r="N12" i="34" s="1"/>
  <c r="H12" i="34"/>
  <c r="I12" i="34" s="1"/>
  <c r="M11" i="34"/>
  <c r="N11" i="34" s="1"/>
  <c r="H11" i="34"/>
  <c r="I11" i="34" s="1"/>
  <c r="M10" i="34"/>
  <c r="N10" i="34" s="1"/>
  <c r="H10" i="34"/>
  <c r="I10" i="34" s="1"/>
  <c r="M9" i="34"/>
  <c r="N9" i="34" s="1"/>
  <c r="H9" i="34"/>
  <c r="I9" i="34" s="1"/>
  <c r="M8" i="34"/>
  <c r="N8" i="34" s="1"/>
  <c r="H8" i="34"/>
  <c r="I8" i="34" s="1"/>
  <c r="M7" i="34"/>
  <c r="N7" i="34" s="1"/>
  <c r="H7" i="34"/>
  <c r="I7" i="34" s="1"/>
  <c r="M6" i="34"/>
  <c r="N6" i="34" s="1"/>
  <c r="H6" i="34"/>
  <c r="I6" i="34" s="1"/>
  <c r="M5" i="34"/>
  <c r="N5" i="34" s="1"/>
  <c r="H5" i="34"/>
  <c r="I5" i="34" s="1"/>
  <c r="M4" i="34"/>
  <c r="N4" i="34" s="1"/>
  <c r="H4" i="34"/>
  <c r="I4" i="34" s="1"/>
  <c r="O37" i="34" l="1"/>
  <c r="I37" i="34"/>
  <c r="D21" i="42"/>
  <c r="D20" i="42"/>
  <c r="L21" i="42"/>
  <c r="L20" i="42"/>
  <c r="G20" i="42"/>
  <c r="G21" i="42"/>
  <c r="H21" i="42"/>
  <c r="H20" i="42"/>
  <c r="I21" i="42"/>
  <c r="I20" i="42"/>
  <c r="J20" i="42"/>
  <c r="J21" i="42"/>
  <c r="C20" i="42"/>
  <c r="C21" i="42"/>
  <c r="E20" i="42"/>
  <c r="E21" i="42"/>
  <c r="M21" i="42"/>
  <c r="M20" i="42"/>
  <c r="O20" i="42"/>
  <c r="O21" i="42"/>
  <c r="K21" i="42"/>
  <c r="K20" i="42"/>
  <c r="F21" i="42"/>
  <c r="F20" i="42"/>
  <c r="N20" i="42"/>
  <c r="N21" i="42"/>
  <c r="O21" i="34"/>
  <c r="H12" i="39"/>
  <c r="H14" i="39" s="1"/>
  <c r="M41" i="35"/>
  <c r="M40" i="35"/>
  <c r="J12" i="39"/>
  <c r="J14" i="39" s="1"/>
  <c r="O40" i="35"/>
  <c r="O41" i="35"/>
  <c r="I12" i="39"/>
  <c r="I13" i="39" s="1"/>
  <c r="N41" i="35"/>
  <c r="N40" i="35"/>
  <c r="H40" i="35"/>
  <c r="H41" i="35"/>
  <c r="K12" i="39"/>
  <c r="K14" i="39" s="1"/>
  <c r="P40" i="35"/>
  <c r="P41" i="35"/>
  <c r="D12" i="39"/>
  <c r="D14" i="39" s="1"/>
  <c r="I40" i="35"/>
  <c r="I41" i="35"/>
  <c r="L12" i="39"/>
  <c r="L14" i="39" s="1"/>
  <c r="Q40" i="35"/>
  <c r="Q41" i="35"/>
  <c r="E12" i="39"/>
  <c r="E14" i="39" s="1"/>
  <c r="J40" i="35"/>
  <c r="J41" i="35"/>
  <c r="M12" i="39"/>
  <c r="M14" i="39" s="1"/>
  <c r="R40" i="35"/>
  <c r="R41" i="35"/>
  <c r="F12" i="39"/>
  <c r="F14" i="39" s="1"/>
  <c r="K40" i="35"/>
  <c r="K41" i="35"/>
  <c r="S40" i="35"/>
  <c r="S41" i="35"/>
  <c r="G12" i="39"/>
  <c r="G13" i="39" s="1"/>
  <c r="L41" i="35"/>
  <c r="L40" i="35"/>
  <c r="T41" i="35"/>
  <c r="T40" i="35"/>
  <c r="H40" i="32"/>
  <c r="H41" i="32"/>
  <c r="P40" i="32"/>
  <c r="P41" i="32"/>
  <c r="M40" i="32"/>
  <c r="M41" i="32"/>
  <c r="I40" i="32"/>
  <c r="I41" i="32"/>
  <c r="Q40" i="32"/>
  <c r="Q41" i="32"/>
  <c r="O40" i="32"/>
  <c r="O41" i="32"/>
  <c r="J40" i="32"/>
  <c r="J41" i="32"/>
  <c r="R40" i="32"/>
  <c r="R41" i="32"/>
  <c r="K40" i="32"/>
  <c r="K41" i="32"/>
  <c r="S40" i="32"/>
  <c r="S41" i="32"/>
  <c r="L40" i="32"/>
  <c r="L41" i="32"/>
  <c r="T40" i="32"/>
  <c r="T41" i="32"/>
  <c r="N40" i="32"/>
  <c r="N41" i="32"/>
  <c r="C12" i="39"/>
  <c r="N12" i="39"/>
  <c r="N14" i="39" s="1"/>
  <c r="X39" i="32"/>
  <c r="G40" i="32"/>
  <c r="O12" i="39"/>
  <c r="C40" i="35"/>
  <c r="D40" i="35"/>
  <c r="G40" i="35"/>
  <c r="F40" i="35"/>
  <c r="E40" i="35"/>
  <c r="O35" i="34"/>
  <c r="O9" i="34"/>
  <c r="O14" i="34"/>
  <c r="O4" i="34"/>
  <c r="O31" i="34"/>
  <c r="O36" i="34"/>
  <c r="O10" i="34"/>
  <c r="O28" i="34"/>
  <c r="O23" i="34"/>
  <c r="O32" i="34"/>
  <c r="O6" i="34"/>
  <c r="O16" i="34"/>
  <c r="O25" i="34"/>
  <c r="O5" i="34"/>
  <c r="O13" i="34"/>
  <c r="O20" i="34"/>
  <c r="O34" i="34"/>
  <c r="O8" i="34"/>
  <c r="O26" i="34"/>
  <c r="O18" i="34"/>
  <c r="O15" i="34"/>
  <c r="O17" i="34"/>
  <c r="O19" i="34"/>
  <c r="O22" i="34"/>
  <c r="O24" i="34"/>
  <c r="O33" i="34"/>
  <c r="O38" i="34"/>
  <c r="O7" i="34"/>
  <c r="O27" i="34"/>
  <c r="O11" i="34"/>
  <c r="O12" i="34"/>
  <c r="O29" i="34"/>
  <c r="O30" i="34"/>
  <c r="M39" i="34"/>
  <c r="H39" i="34"/>
  <c r="D3" i="32"/>
  <c r="E3" i="32" s="1"/>
  <c r="F3" i="32" s="1"/>
  <c r="G3" i="32" s="1"/>
  <c r="H3" i="32" s="1"/>
  <c r="I3" i="32" s="1"/>
  <c r="J3" i="32" s="1"/>
  <c r="K3" i="32" s="1"/>
  <c r="L3" i="32" s="1"/>
  <c r="M3" i="32" s="1"/>
  <c r="N3" i="32" s="1"/>
  <c r="O3" i="32" s="1"/>
  <c r="P3" i="32" s="1"/>
  <c r="Q3" i="32" s="1"/>
  <c r="R3" i="32" s="1"/>
  <c r="S3" i="32" s="1"/>
  <c r="T3" i="32" s="1"/>
  <c r="W3" i="32" s="1"/>
  <c r="H13" i="39" l="1"/>
  <c r="H15" i="39" s="1"/>
  <c r="D13" i="39"/>
  <c r="D15" i="39" s="1"/>
  <c r="G14" i="39"/>
  <c r="G15" i="39" s="1"/>
  <c r="E13" i="39"/>
  <c r="E15" i="39" s="1"/>
  <c r="J13" i="39"/>
  <c r="J15" i="39" s="1"/>
  <c r="L13" i="39"/>
  <c r="L15" i="39" s="1"/>
  <c r="M13" i="39"/>
  <c r="M15" i="39" s="1"/>
  <c r="K13" i="39"/>
  <c r="K15" i="39" s="1"/>
  <c r="I14" i="39"/>
  <c r="I15" i="39" s="1"/>
  <c r="F13" i="39"/>
  <c r="F15" i="39" s="1"/>
  <c r="N13" i="39"/>
  <c r="N15" i="39" s="1"/>
  <c r="C14" i="39"/>
  <c r="C13" i="39"/>
  <c r="O14" i="39"/>
  <c r="O13" i="39"/>
  <c r="O39" i="34"/>
  <c r="N39" i="34"/>
  <c r="I39" i="34"/>
  <c r="O15" i="39" l="1"/>
  <c r="C15" i="39"/>
  <c r="H20" i="39"/>
  <c r="I20" i="39" l="1"/>
  <c r="J41" i="29"/>
  <c r="N41" i="29" s="1"/>
  <c r="J39" i="29"/>
  <c r="N39" i="29" s="1"/>
  <c r="J12" i="29" l="1"/>
  <c r="N12" i="29" s="1"/>
  <c r="J11" i="29"/>
  <c r="N11" i="29" s="1"/>
  <c r="J10" i="29"/>
  <c r="N10" i="29" s="1"/>
  <c r="J9" i="29"/>
  <c r="N9" i="29" s="1"/>
  <c r="J8" i="29"/>
  <c r="N8" i="29" s="1"/>
  <c r="J7" i="29"/>
  <c r="N7" i="29" s="1"/>
  <c r="J6" i="29"/>
  <c r="N6" i="29" s="1"/>
  <c r="J5" i="29"/>
  <c r="N5" i="29" s="1"/>
  <c r="J4" i="29"/>
  <c r="N4" i="29" s="1"/>
  <c r="J37" i="29"/>
  <c r="N37" i="29" s="1"/>
  <c r="J36" i="29"/>
  <c r="N36" i="29" s="1"/>
  <c r="J35" i="29"/>
  <c r="N35" i="29" s="1"/>
  <c r="J34" i="29"/>
  <c r="N34" i="29" s="1"/>
  <c r="J33" i="29"/>
  <c r="N33" i="29" s="1"/>
  <c r="J31" i="29"/>
  <c r="N31" i="29" s="1"/>
  <c r="J30" i="29"/>
  <c r="N30" i="29" s="1"/>
  <c r="J29" i="29"/>
  <c r="N29" i="29" s="1"/>
  <c r="J28" i="29"/>
  <c r="N28" i="29" s="1"/>
  <c r="J27" i="29"/>
  <c r="N27" i="29" s="1"/>
  <c r="J25" i="29"/>
  <c r="N25" i="29" s="1"/>
  <c r="J24" i="29"/>
  <c r="N24" i="29" s="1"/>
  <c r="J23" i="29"/>
  <c r="N23" i="29" s="1"/>
  <c r="J22" i="29"/>
  <c r="N22" i="29" s="1"/>
  <c r="J21" i="29"/>
  <c r="N21" i="29" s="1"/>
  <c r="J20" i="29"/>
  <c r="N20" i="29" s="1"/>
  <c r="J19" i="29"/>
  <c r="N19" i="29" s="1"/>
  <c r="J18" i="29"/>
  <c r="N18" i="29" s="1"/>
  <c r="J17" i="29"/>
  <c r="N17" i="29" s="1"/>
  <c r="J16" i="29"/>
  <c r="N16" i="29" s="1"/>
  <c r="J15" i="29"/>
  <c r="N15" i="29" s="1"/>
  <c r="J14" i="29"/>
  <c r="N14" i="29" s="1"/>
  <c r="J13" i="29"/>
  <c r="N13" i="29" s="1"/>
  <c r="N42" i="29" l="1"/>
  <c r="N26" i="29"/>
  <c r="N38" i="29"/>
  <c r="N32" i="29"/>
  <c r="N31" i="39" l="1"/>
  <c r="O33" i="39"/>
  <c r="O34" i="42" s="1"/>
  <c r="O36" i="42" l="1"/>
  <c r="O35" i="42"/>
  <c r="O34" i="39"/>
  <c r="O35" i="39"/>
  <c r="M31" i="39"/>
  <c r="N33" i="39"/>
  <c r="N34" i="42" s="1"/>
  <c r="N35" i="42" l="1"/>
  <c r="N36" i="42"/>
  <c r="N35" i="39"/>
  <c r="N34" i="39"/>
  <c r="L31" i="39"/>
  <c r="M33" i="39"/>
  <c r="M34" i="42" s="1"/>
  <c r="M35" i="42" l="1"/>
  <c r="M36" i="42"/>
  <c r="K31" i="39"/>
  <c r="L33" i="39"/>
  <c r="L34" i="42" s="1"/>
  <c r="M34" i="39"/>
  <c r="M35" i="39"/>
  <c r="L35" i="42" l="1"/>
  <c r="L36" i="42"/>
  <c r="L34" i="39"/>
  <c r="L35" i="39"/>
  <c r="J31" i="39"/>
  <c r="K33" i="39"/>
  <c r="K34" i="42" s="1"/>
  <c r="K35" i="42" l="1"/>
  <c r="K36" i="42"/>
  <c r="I31" i="39"/>
  <c r="J33" i="39"/>
  <c r="J34" i="42" s="1"/>
  <c r="K34" i="39"/>
  <c r="K35" i="39"/>
  <c r="H38" i="29"/>
  <c r="H32" i="29"/>
  <c r="H26" i="29"/>
  <c r="F37" i="29"/>
  <c r="F36" i="29"/>
  <c r="F35" i="29"/>
  <c r="F34" i="29"/>
  <c r="F33" i="29"/>
  <c r="F31" i="29"/>
  <c r="F30" i="29"/>
  <c r="F29" i="29"/>
  <c r="F28" i="29"/>
  <c r="F27" i="29"/>
  <c r="F25" i="29"/>
  <c r="F24" i="29"/>
  <c r="F23" i="29"/>
  <c r="F22" i="29"/>
  <c r="F21" i="29"/>
  <c r="F20" i="29"/>
  <c r="F19" i="29"/>
  <c r="F18" i="29"/>
  <c r="F17" i="29"/>
  <c r="F16" i="29"/>
  <c r="F15" i="29"/>
  <c r="F14" i="29"/>
  <c r="F13" i="29"/>
  <c r="F12" i="29"/>
  <c r="F11" i="29"/>
  <c r="F10" i="29"/>
  <c r="F9" i="29"/>
  <c r="F8" i="29"/>
  <c r="F7" i="29"/>
  <c r="F6" i="29"/>
  <c r="F5" i="29"/>
  <c r="F4" i="29"/>
  <c r="J35" i="42" l="1"/>
  <c r="J36" i="42"/>
  <c r="J34" i="39"/>
  <c r="J35" i="39"/>
  <c r="H31" i="39"/>
  <c r="I33" i="39"/>
  <c r="I34" i="42" s="1"/>
  <c r="I35" i="42" l="1"/>
  <c r="I36" i="42"/>
  <c r="I35" i="39"/>
  <c r="I34" i="39"/>
  <c r="G31" i="39"/>
  <c r="H33" i="39"/>
  <c r="H34" i="42" s="1"/>
  <c r="H36" i="42" l="1"/>
  <c r="H35" i="42"/>
  <c r="H35" i="39"/>
  <c r="H34" i="39"/>
  <c r="F31" i="39"/>
  <c r="G33" i="39"/>
  <c r="G34" i="42" s="1"/>
  <c r="G36" i="42" l="1"/>
  <c r="G35" i="42"/>
  <c r="E31" i="39"/>
  <c r="F33" i="39"/>
  <c r="F34" i="42" s="1"/>
  <c r="G35" i="39"/>
  <c r="G34" i="39"/>
  <c r="F35" i="42" l="1"/>
  <c r="F36" i="42"/>
  <c r="F35" i="39"/>
  <c r="F34" i="39"/>
  <c r="D31" i="39"/>
  <c r="E33" i="39"/>
  <c r="E34" i="42" s="1"/>
  <c r="E35" i="42" l="1"/>
  <c r="E36" i="42"/>
  <c r="E34" i="39"/>
  <c r="E35" i="39"/>
  <c r="C31" i="39"/>
  <c r="C33" i="39" s="1"/>
  <c r="C34" i="42" s="1"/>
  <c r="Q34" i="42" s="1"/>
  <c r="D33" i="39"/>
  <c r="D34" i="42" s="1"/>
  <c r="D35" i="42" l="1"/>
  <c r="D36" i="42"/>
  <c r="C35" i="42"/>
  <c r="Q35" i="42" s="1"/>
  <c r="C36" i="42"/>
  <c r="Q36" i="42" s="1"/>
  <c r="C34" i="39"/>
  <c r="C35" i="39"/>
  <c r="D35" i="39"/>
  <c r="D34" i="39"/>
</calcChain>
</file>

<file path=xl/sharedStrings.xml><?xml version="1.0" encoding="utf-8"?>
<sst xmlns="http://schemas.openxmlformats.org/spreadsheetml/2006/main" count="1167" uniqueCount="293">
  <si>
    <t>School</t>
  </si>
  <si>
    <t>Preschool</t>
  </si>
  <si>
    <t>Description &amp; Location</t>
  </si>
  <si>
    <t>Address</t>
  </si>
  <si>
    <t>Year Built</t>
  </si>
  <si>
    <t>Balas Bldg</t>
  </si>
  <si>
    <t>2670 Sequoia Parkway</t>
  </si>
  <si>
    <t>Allen Elementary</t>
  </si>
  <si>
    <t>2560 Towner Blvd.</t>
  </si>
  <si>
    <t>Angell Elementary</t>
  </si>
  <si>
    <t>1608 S. University</t>
  </si>
  <si>
    <t>Bach Elementary</t>
  </si>
  <si>
    <t>600 W. Jefferson St.</t>
  </si>
  <si>
    <t>Bryant Elementary</t>
  </si>
  <si>
    <t>2150 Santa Rosa Drive</t>
  </si>
  <si>
    <t>Burns Park Elementary</t>
  </si>
  <si>
    <t>1414 Wells Street</t>
  </si>
  <si>
    <t>Carpenter Elementary</t>
  </si>
  <si>
    <t>4250 Central Blvd.</t>
  </si>
  <si>
    <t>Dicken Elementary</t>
  </si>
  <si>
    <t>2135 Runnymeade Blvd.</t>
  </si>
  <si>
    <t>Freeman Elementary</t>
  </si>
  <si>
    <t>3540 N. Dixboro Road</t>
  </si>
  <si>
    <t>Eberwhite Elementary</t>
  </si>
  <si>
    <t>800 Soule Blvd.</t>
  </si>
  <si>
    <t>Haisley Elementary</t>
  </si>
  <si>
    <t>825 Duncan Street</t>
  </si>
  <si>
    <t>King Elementary</t>
  </si>
  <si>
    <t>3800 Waldenwood Dr.</t>
  </si>
  <si>
    <t>Lakewood Elementary</t>
  </si>
  <si>
    <t>344 Gralake Avenue</t>
  </si>
  <si>
    <t>Lawton Elementary</t>
  </si>
  <si>
    <t>2250 S. Seventh Street</t>
  </si>
  <si>
    <t>Logan Elementary</t>
  </si>
  <si>
    <t>2685 Traver Blvd.</t>
  </si>
  <si>
    <t>920 Miller Road</t>
  </si>
  <si>
    <t>Mitchell Elementary</t>
  </si>
  <si>
    <t>3550 Pittsview Drive</t>
  </si>
  <si>
    <t>912 Barton Drive</t>
  </si>
  <si>
    <t>Pattengill Elementary</t>
  </si>
  <si>
    <t>2100 Crestland Street</t>
  </si>
  <si>
    <t>Pittsfield Elementary</t>
  </si>
  <si>
    <t>2543 Pittsfield Blvd.</t>
  </si>
  <si>
    <t>2800 Stone School Road</t>
  </si>
  <si>
    <t>Thurston Elementary</t>
  </si>
  <si>
    <t>2300 Prairie Street</t>
  </si>
  <si>
    <t>Wines Elementary</t>
  </si>
  <si>
    <t>1701 Newport Road</t>
  </si>
  <si>
    <t>Transportation -Main Bldg</t>
  </si>
  <si>
    <t>Clague Middle School</t>
  </si>
  <si>
    <t>2616 Nixon Road</t>
  </si>
  <si>
    <t>Forsythe Middle School</t>
  </si>
  <si>
    <t>1655 Newport Road</t>
  </si>
  <si>
    <t>Scarlett Middle School</t>
  </si>
  <si>
    <t>3300 Lorraine Street</t>
  </si>
  <si>
    <t>Slauson Middle School</t>
  </si>
  <si>
    <t>1019 W. Washington</t>
  </si>
  <si>
    <t>Tappan Middle School</t>
  </si>
  <si>
    <t>2251 E. Stadium</t>
  </si>
  <si>
    <t>Huron High School</t>
  </si>
  <si>
    <t>2727 Fuller Road</t>
  </si>
  <si>
    <t>Pioneer High School</t>
  </si>
  <si>
    <t>601 W. Stadium</t>
  </si>
  <si>
    <t>Community High School</t>
  </si>
  <si>
    <t>401 N. Division Street</t>
  </si>
  <si>
    <t>Skyline High School</t>
  </si>
  <si>
    <t>2552 N. Maple Road</t>
  </si>
  <si>
    <t>A2 STEAM</t>
  </si>
  <si>
    <t>Pathways to Success</t>
  </si>
  <si>
    <t xml:space="preserve">A2 STEAM </t>
  </si>
  <si>
    <t>Modular Area</t>
  </si>
  <si>
    <t>Building Area</t>
  </si>
  <si>
    <t>Total Area</t>
  </si>
  <si>
    <t xml:space="preserve">Bach Elementary </t>
  </si>
  <si>
    <t>AA Open Elementary</t>
  </si>
  <si>
    <t>AVERAGE ELEMENTARY / K-8</t>
  </si>
  <si>
    <t>AVERAGE MIDDLE SCHOOL</t>
  </si>
  <si>
    <t>AVERAGE HIGH SCHOOL</t>
  </si>
  <si>
    <t>Site Area (acres)</t>
  </si>
  <si>
    <t># 6 yard containers</t>
  </si>
  <si>
    <t># 8 yard containers</t>
  </si>
  <si>
    <t>Annual Volume - CY (42 weeks)</t>
  </si>
  <si>
    <t>Days of service/wk</t>
  </si>
  <si>
    <t>Volume of Compactor / roll off</t>
  </si>
  <si>
    <t>DIVERSION RATE</t>
  </si>
  <si>
    <t>Percentage Grass</t>
  </si>
  <si>
    <t>Percentage Forest</t>
  </si>
  <si>
    <t>Percentage Pond</t>
  </si>
  <si>
    <t>Balas</t>
  </si>
  <si>
    <t>Transportation</t>
  </si>
  <si>
    <t>Fiscal Year</t>
  </si>
  <si>
    <t>Fall Enrollment</t>
  </si>
  <si>
    <t>Bus Miles Driven</t>
  </si>
  <si>
    <t>Bus Diesel Annual Purchase (gallons)</t>
  </si>
  <si>
    <t>Bus MPG</t>
  </si>
  <si>
    <t>Community HighSchool</t>
  </si>
  <si>
    <t>TOTAL</t>
  </si>
  <si>
    <t>included with Forsythe</t>
  </si>
  <si>
    <t>opened in FY 2009</t>
  </si>
  <si>
    <t>opened in FY 2007</t>
  </si>
  <si>
    <t>2022 as % of 2010-2018 Average</t>
  </si>
  <si>
    <t>kWh/Student</t>
  </si>
  <si>
    <t>incl. w/ Forsythe</t>
  </si>
  <si>
    <t>Heating Degree Days</t>
  </si>
  <si>
    <t>Miles Driven per Student per Year</t>
  </si>
  <si>
    <t>Electricity</t>
  </si>
  <si>
    <t>Natural Gas</t>
  </si>
  <si>
    <t>Diesel Fuel</t>
  </si>
  <si>
    <t>Water</t>
  </si>
  <si>
    <t>Landfill</t>
  </si>
  <si>
    <t>Recycling</t>
  </si>
  <si>
    <t>Site Sequestration</t>
  </si>
  <si>
    <t>Green Power Purchase</t>
  </si>
  <si>
    <t>Grid Electricity (kWh)</t>
  </si>
  <si>
    <t>Natural Gas Usage (CCF)</t>
  </si>
  <si>
    <t>Diesel Fuel (gallons)</t>
  </si>
  <si>
    <t>Miles Driven (miles)</t>
  </si>
  <si>
    <t>Miles per Gallon (MPG)</t>
  </si>
  <si>
    <t>School Buses</t>
  </si>
  <si>
    <t>Fleet Vehicles</t>
  </si>
  <si>
    <t>Solar Production (On-Site kWh))</t>
  </si>
  <si>
    <t>SCOPE 1</t>
  </si>
  <si>
    <t>SCOPE 2</t>
  </si>
  <si>
    <t>SCOPE 3</t>
  </si>
  <si>
    <t>Generators (Diesel Gallons)</t>
  </si>
  <si>
    <t xml:space="preserve">Generators   </t>
  </si>
  <si>
    <t>Buses</t>
  </si>
  <si>
    <t>Generators</t>
  </si>
  <si>
    <t>Factor</t>
  </si>
  <si>
    <t>Units</t>
  </si>
  <si>
    <t xml:space="preserve">  </t>
  </si>
  <si>
    <t>Historical Square Footage</t>
  </si>
  <si>
    <t>Supporting Metrics</t>
  </si>
  <si>
    <t>Water (Category 1)</t>
  </si>
  <si>
    <t>Scope 1 - Per 1000 SF</t>
  </si>
  <si>
    <t>Source: https://portfoliomanager.energystar.gov/pm/degreeDaysCalculator</t>
  </si>
  <si>
    <t>Electricity Usage by Fiscal Year (kWh)</t>
  </si>
  <si>
    <t>Solar Production (kWh)</t>
  </si>
  <si>
    <t>KwH/Square Foot</t>
  </si>
  <si>
    <t>Diesel per Student per Year  (gallons)</t>
  </si>
  <si>
    <t>estimate</t>
  </si>
  <si>
    <t>Baseline</t>
  </si>
  <si>
    <t>estimates</t>
  </si>
  <si>
    <t>TOTAL - SCOPE 1 (MT CO2e)</t>
  </si>
  <si>
    <t>Estimate $ Value ($0.127/kWh)</t>
  </si>
  <si>
    <t>Operational</t>
  </si>
  <si>
    <t>FY 2022 Construction</t>
  </si>
  <si>
    <t>Fy 2023 Construction</t>
  </si>
  <si>
    <t>opened FY 2009</t>
  </si>
  <si>
    <t>gallons/Student</t>
  </si>
  <si>
    <t>well water system</t>
  </si>
  <si>
    <t>TOTAL Water Usage (kgal)</t>
  </si>
  <si>
    <t>Water Usage (kgal)</t>
  </si>
  <si>
    <t>Generator Diesel (gallons)</t>
  </si>
  <si>
    <t>TOTAL Annual Natural Gas Usage (CCF)</t>
  </si>
  <si>
    <t>Natural Gas  per Student (CCF/Student)</t>
  </si>
  <si>
    <t>Natural Gas per Square Foot (CCF/ SF)</t>
  </si>
  <si>
    <t>Generator Diesel (MT CO2eq)</t>
  </si>
  <si>
    <t>System Size (KW DC)</t>
  </si>
  <si>
    <t>87 Octane Ethanol (gallons)</t>
  </si>
  <si>
    <t>* COVID Enhanced Ventilation and New AC systems</t>
  </si>
  <si>
    <t>2-Tier Bussing Begins</t>
  </si>
  <si>
    <t xml:space="preserve">* COVID Enhanced Ventilation </t>
  </si>
  <si>
    <t>TOTAL MT CO2eq</t>
  </si>
  <si>
    <t>TOTAL Capacity (kW)</t>
  </si>
  <si>
    <t xml:space="preserve">Solar Electricity Capacity + Generation </t>
  </si>
  <si>
    <t>Transportation and Other Fuels</t>
  </si>
  <si>
    <t>Natural Gas Usage by Fiscal Year (CCF)</t>
  </si>
  <si>
    <t>Water Usage by Fiscal Year (kgal)</t>
  </si>
  <si>
    <t>Conversion Factors for MT CO2eq Emissions Calculations</t>
  </si>
  <si>
    <t>MT CO2eq/CCF</t>
  </si>
  <si>
    <t>Electricity (2010)</t>
  </si>
  <si>
    <t>MT CO2eq/kWh</t>
  </si>
  <si>
    <t>Electricity (2011)</t>
  </si>
  <si>
    <t>Electricity (2012)</t>
  </si>
  <si>
    <t>Electricity (2013)</t>
  </si>
  <si>
    <t>Electricity (2014)</t>
  </si>
  <si>
    <t>Electricity (2015)</t>
  </si>
  <si>
    <t>Electricity (2016)</t>
  </si>
  <si>
    <t>Electricity (2017)</t>
  </si>
  <si>
    <t>Electricity (2018)</t>
  </si>
  <si>
    <t>Electricity (2019)</t>
  </si>
  <si>
    <t>Electricity (2020)</t>
  </si>
  <si>
    <t>Electricity (2021)</t>
  </si>
  <si>
    <t>Electricity (2022)</t>
  </si>
  <si>
    <t>Emission Source</t>
  </si>
  <si>
    <t>Gasoline 87 Octane 10% Ethanol</t>
  </si>
  <si>
    <t>Terms</t>
  </si>
  <si>
    <t>Definitions</t>
  </si>
  <si>
    <t xml:space="preserve">100 Cubic Feet (CCF) </t>
  </si>
  <si>
    <t>Carbon Dioxide (CO2)</t>
  </si>
  <si>
    <t xml:space="preserve">CO2 Sequestration </t>
  </si>
  <si>
    <t>The process of capturing and storing carbon dioxide from the atmosphere.</t>
  </si>
  <si>
    <t xml:space="preserve">Greenhouse Gases </t>
  </si>
  <si>
    <t xml:space="preserve">Gases in the atmosphere such as water vapor, carbon dioxide, methane, and nitrous oxide that can absorb infrared radiation, trapping heat in the atmosphere. This greenhouse effect means that emissions of greenhouse gases due to human activity cause global warming. </t>
  </si>
  <si>
    <t>Kilogallon (kgal)</t>
  </si>
  <si>
    <t xml:space="preserve">A unit of measurement for volume that is equal to 1000 gallons. </t>
  </si>
  <si>
    <t>Kilowatt- Hour (kWh)</t>
  </si>
  <si>
    <t xml:space="preserve">A measurement of electrical energy that is equal to a power consumption of 1,000 watts for 1 hour. </t>
  </si>
  <si>
    <t>Scope 1 Emissions</t>
  </si>
  <si>
    <t>Direct greenhouse gas emissions that are from sources owned or controlled by the reporting entity.</t>
  </si>
  <si>
    <t>Scope 2 Emissions</t>
  </si>
  <si>
    <t>Indirect greenhouse gas emissions associated with the production of electricity, heat, or steam purchased by the reporting entity.</t>
  </si>
  <si>
    <t>Scope 3 Emissions</t>
  </si>
  <si>
    <t xml:space="preserve">All other indirect greenhouse gas emissions, i.e., emissions associated with the extraction and production of purchased materials, fuels, and services, including transport in vehicles not owned or controlled by the reporting entity, outsourced activities, waste disposal, etc. </t>
  </si>
  <si>
    <t xml:space="preserve">A common unit of measurement for natural gas. </t>
  </si>
  <si>
    <t>CO2 Sequestration per year (MT CO2)</t>
  </si>
  <si>
    <t>Site Sequestration (MT CO2)</t>
  </si>
  <si>
    <t xml:space="preserve"> TOTAL (MT CO2 sequestration/yr)</t>
  </si>
  <si>
    <t xml:space="preserve"> Hardscape percentage</t>
  </si>
  <si>
    <t xml:space="preserve"> Greenspace (acres)</t>
  </si>
  <si>
    <t>Mowed Grass Sequestration</t>
  </si>
  <si>
    <t>Average Forest Sequestration</t>
  </si>
  <si>
    <t>Pond/Wetland Sequestration</t>
  </si>
  <si>
    <t>A heat-trapping chemical compound that arises due to the burning of fossil fuels and contains one carbon atom double bonded with two oxygen atoms per molecule</t>
  </si>
  <si>
    <t>MT CO2eq/gal</t>
  </si>
  <si>
    <t>MT CO2eq/acre</t>
  </si>
  <si>
    <t>MT CO2eq/MG</t>
  </si>
  <si>
    <t>Stationary Combustion Emission (MT CO2eq)</t>
  </si>
  <si>
    <t>Upstream Stationary Combustion Emission (MT CO2eq)</t>
  </si>
  <si>
    <t>Diesel Fuel (MT CO2eq)</t>
  </si>
  <si>
    <t>87 Octane Ethanol (MT CO2eq)</t>
  </si>
  <si>
    <t>Site Sequestration SUBTOTAL (MT CO2eq)</t>
  </si>
  <si>
    <t>Solar Production MT CO2eq avoidance</t>
  </si>
  <si>
    <t>SUBTOTAL (MT CO2eq)</t>
  </si>
  <si>
    <t>Scope 2 - Per 1000 SF  (MT CO2eq/1000 SF)</t>
  </si>
  <si>
    <t>Water Treatment (MT CO2eq/MG)</t>
  </si>
  <si>
    <t>Wastewater Treatment (MT CO2eq/MG)</t>
  </si>
  <si>
    <t>Total SCOPE 3 Water Emissions (MT CO2eq)</t>
  </si>
  <si>
    <t>TOTAL - SCOPE 1+2+3 (MT CO2eq)</t>
  </si>
  <si>
    <t>Per Student (MT CO2eq/student)</t>
  </si>
  <si>
    <t>Per 1000 SF (MT CO2eq/1000 SF)</t>
  </si>
  <si>
    <t>Natural Gas TOTAL (MT CO2eq)</t>
  </si>
  <si>
    <t>MT CO2eq/kWh (DTE Emissions Multiplier)</t>
  </si>
  <si>
    <t>TOTAL - SCOPE 2 Electricity (MT CO2eq)</t>
  </si>
  <si>
    <t>MT CO2eq - Buses</t>
  </si>
  <si>
    <t>TOTAL - SCOPE 1+2+3</t>
  </si>
  <si>
    <t>Scope 1 - Direct Emissions</t>
  </si>
  <si>
    <t xml:space="preserve">A plan to outline, detail and confirm interim targets will be developed.  Electrification of buildings and vehicles will be central elements of the plan.  </t>
  </si>
  <si>
    <t>Scope 2 - Indirect Energy Emissions</t>
  </si>
  <si>
    <t xml:space="preserve">In the last three years, AAPS has been installing 8 large rooftop solar arrays that when fully operational in 2023, will generate approximately 6% of the District’s electricity, or 1800 megawatt hours annually.  </t>
  </si>
  <si>
    <t xml:space="preserve">To quickly secure an additional 80% Scope 2 emissions reduction, AAPS entered a 20-year contract with DTE Energy and the MIGreen Power program to supply 24,000 megawatt hours annually to AAPS from newly constructed utility-scale wind and solar projects built in Michigan by 2024. </t>
  </si>
  <si>
    <t>GOAL: The AAPS will eliminate Scope 1 emissions by 2035.</t>
  </si>
  <si>
    <t xml:space="preserve"> </t>
  </si>
  <si>
    <t xml:space="preserve">GOAL: The AAPS will eliminate Scope 2 emissions by 2024. </t>
  </si>
  <si>
    <t>Scope 3 - Other Indirect Emissions</t>
  </si>
  <si>
    <t xml:space="preserve">At AAPS, many of the Scope 3 emissions are associated with purchased items such as laptops and other technology, books, paper, construction materials and other supplies - as well as contracted services such as lawn maintenance and snow removal, custodial and food services and other services.  </t>
  </si>
  <si>
    <t>Community partnerships will be critical in reducing Scope 3 emissions as many of the solutions are beyond the district's control and will require transforming the marketplace for goods and services to carbon neutrality. This effort will require creative strategies working at scale across our city, county, region, nation and world.</t>
  </si>
  <si>
    <t xml:space="preserve">AAPS will continue to collaborate with local partner institutions to better measure, track and reduce Scope 3 emissions.  </t>
  </si>
  <si>
    <r>
      <t>GOAL:  In the 2023-2024 school year, develop purchasing and construction guidelines that reflect the district’s commitments to reducing Scope 3 emissions and begin piloting the new guidelines in 2024.</t>
    </r>
    <r>
      <rPr>
        <sz val="12"/>
        <color rgb="FF000000"/>
        <rFont val="Arial"/>
        <family val="2"/>
      </rPr>
      <t xml:space="preserve">  </t>
    </r>
  </si>
  <si>
    <t>‘Scope 1’ indicates direct greenhouse gas (GHG) emissions that are from sources owned or controlled by the reporting entity. ‘Scope 2’ indicates indirect GHG emissions associated with the production of electricity, heat, or steam purchased by the reporting entity. ‘Scope 3’ indicates all other indirect emissions, i.e., emissions associated with the extraction and production of purchased materials, fuels, and services, including transport in vehicles not owned or controlled by the reporting entity, outsourced activities, waste disposal, etc. (WBCSD and WRI, 2004).</t>
  </si>
  <si>
    <t>The Intergovernmental Panel on Climate Change (IPCC) of the United nations defines Scope 1, 2 and 3 emissions as:</t>
  </si>
  <si>
    <t>Natural Gas Usage per student (CCF/student)</t>
  </si>
  <si>
    <t>N/A</t>
  </si>
  <si>
    <t xml:space="preserve">Student Enrollment </t>
  </si>
  <si>
    <t>Electricity Usage per student (kWh/student)</t>
  </si>
  <si>
    <t>Square Footage (SF)</t>
  </si>
  <si>
    <t>Scope 1 emissions are atmospheric GHG emissions directly generated by AAPS. The majority of these emissions at AAPS come from the burning of natural gas for space and water heating, as well as diesel and unleaded gasoline for buses and fleet vehicles.</t>
  </si>
  <si>
    <t xml:space="preserve">Scope 2 emissions are atmospheric GHG emissions attributed to purchased utilities. At AAPS, these are the emissions associated with purchased grid electricity. Currently AAPS uses approximately 30,000 megawatt hours of electricity annually. By combining on-site solar production, the Michigan Renewable Portfolio Standard, and utility-scale renewable energy from DTE Energy, AAPS will eliminate Scope 2 emissions by 2024.  </t>
  </si>
  <si>
    <t>In addition, the State of Michigan’s Renewable Portfolio Standard (RPS) required all utilities to provide 15% of their electricity from renewable sources by 2021. This accounts for 4500 megawatt hours annually at AAPS.</t>
  </si>
  <si>
    <t xml:space="preserve">Scope 3 emissions are atmospheric GHG emissions attributed to a wide range of other activities, including purchased goods and services, construction materials, waste, commuting and financial investments. For many institutions and businesses, Scope 3 emissions are the largest of the three scopes of GHG emissions.  </t>
  </si>
  <si>
    <t>Measuring Scope 3 emissions is challenging and requires an accounting of both Upstream carbon emissions (mining, logging, manufacturing, packaging, transportation, etc.) and Downstream carbon emissions (product use, disposal, etc.). While the global community is developing methods for calculating and reporting Scope 3 emissions, it is impossible at this time to accurately calculate the district’s Scope 3 emissions for all areas.</t>
  </si>
  <si>
    <t xml:space="preserve">A unit of measurement for emissions of greenhouse gases. </t>
  </si>
  <si>
    <t xml:space="preserve">Metric Tons Carbon Dioxide Equivalent (MT CO2eq) </t>
  </si>
  <si>
    <t xml:space="preserve">* COVID Remote Learning </t>
  </si>
  <si>
    <t>Abbot Elementary</t>
  </si>
  <si>
    <t>THE ANN ARBOR PUBLIC SCHOOLS GREENHOUSE GAS INVENTORY</t>
  </si>
  <si>
    <t>District-Level Report</t>
  </si>
  <si>
    <t>Mission</t>
  </si>
  <si>
    <t>The Ann Arbor Public Schools is committed to care for the environment, to model and achieve an environmentally sustainable existence. We demonstrate this commitment, both through our critical mission of educating generations of students as strong stewards of the environment, and also in living an environmental commitment with every decision across every area of the organization.</t>
  </si>
  <si>
    <t>Vision</t>
  </si>
  <si>
    <t>In all decisions, we embody and live the deeply held value of caring for the earth and our environment. Individual, team and district decisions are consistent with care for the earth.  </t>
  </si>
  <si>
    <t>AAPS Environmental Sustainability Framework</t>
  </si>
  <si>
    <t>View the AAPS Environmental Sustainability Framework here:</t>
  </si>
  <si>
    <t>https://www.a2schools.org/Page/18978</t>
  </si>
  <si>
    <t>Greenhouse Gas Inventory (GHGI)</t>
  </si>
  <si>
    <t>In December 2022, the Ann Arbor Public Schools adopted an Environmental Sustainability (ES) Framework. Advised by the District's Environmental Sustainability Taskforce and guided by Board Policy 8000: Environmental Sustainability. The AAPS ES Framework recognizes that while AAPS has been engaged in environmental sustainability efforts for decades, this is a critical time to renew, deepen and align those efforts. The current and looming climate crisis requires continued efforts to organize and institutionalize systemic changes. Included in the ES Framework is a commitment to conduct a greenhouse gas inventory annually.</t>
  </si>
  <si>
    <t xml:space="preserve">Ann Arbor Public Schools -  Greenhouse Gas Inventory </t>
  </si>
  <si>
    <t>Production by Fiscal Year (kWh)</t>
  </si>
  <si>
    <t>TOTAL Production (kWh)</t>
  </si>
  <si>
    <t>Water Usage per student (gallons/student)</t>
  </si>
  <si>
    <t>Scope 2- Per Student (MT CO2eq/student)</t>
  </si>
  <si>
    <t>Scope 1 - Per Student (MT CO2eq/student)</t>
  </si>
  <si>
    <t>Natural Gas Usage per SF (CCF/1000 SF)</t>
  </si>
  <si>
    <t>Electricity Usage per SF (kWh/1000 SF)</t>
  </si>
  <si>
    <t>Water Usage per SF (gallons/SF)</t>
  </si>
  <si>
    <t>Cubic Feet/1000 SF</t>
  </si>
  <si>
    <t>Total Metric Tons of CO2 Equivalent Emissions per School (Total MT CO2eq)</t>
  </si>
  <si>
    <t>Metric Tons of CO2 Equivalent Emissions per SF (MT CO2eq/1000 SF)</t>
  </si>
  <si>
    <t>Metric Tons of CO2 Equivalent Emissions per student (MT CO2eq/student)</t>
  </si>
  <si>
    <t>2023 vs.</t>
  </si>
  <si>
    <t>Electricity (2023)</t>
  </si>
  <si>
    <r>
      <rPr>
        <sz val="26"/>
        <color theme="1"/>
        <rFont val="Arial"/>
        <family val="2"/>
      </rPr>
      <t>The</t>
    </r>
    <r>
      <rPr>
        <b/>
        <sz val="26"/>
        <color theme="1"/>
        <rFont val="Arial"/>
        <family val="2"/>
      </rPr>
      <t xml:space="preserve"> AAPS GHGI </t>
    </r>
    <r>
      <rPr>
        <sz val="26"/>
        <color theme="1"/>
        <rFont val="Arial"/>
        <family val="2"/>
      </rPr>
      <t xml:space="preserve">is a report that quantifies the amount of direct and indirect greenhouse gas emissions produced by the district. Fiscal Year (FY) 2010 (July 1, 2009-June 20, 2010) was the first complete data set at AAPS and is used as the baseline year in the GHGI. The baseline year is the year against which progress in reducing emissions is measured.  
For this FY 2010-2023 report, the sources of emissions measured include: Scope 1 emissions of natural gas, diesel, gasoline, and site sequestration; Scope 2 emissions of electricity; and Scope 3 emissions of water. In FY 2023, results indicated AAPS's greenhouse gas emissions sources were 55% from electricity, 39% from natural gas, 6% from diesel fuel, and less than 1% from water and gasoline. In addition, AAPS sites (grass, forests, and ponds) removed 2,200 metric tons of CO2 from the atmosphere, equivalent to 6% of the District's annual emissions.  
Since FY 2010, AAPS has seen a 24% reduction in total emissions, a 26% reduction in emissions per student, and a 25% reduction in emissions per 1,000 square feet.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</si>
</sst>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3" formatCode="_(* #,##0.00_);_(* \(#,##0.00\);_(* &quot;-&quot;??_);_(@_)"/>
    <numFmt numFmtId="164" formatCode="_(* #,##0_);_(* \(#,##0\);_(* &quot;-&quot;??_);_(@_)"/>
    <numFmt numFmtId="165" formatCode="0.0%"/>
    <numFmt numFmtId="166" formatCode="0.0"/>
    <numFmt numFmtId="167" formatCode="#,##0.0"/>
    <numFmt numFmtId="168" formatCode="#,##0.000"/>
    <numFmt numFmtId="169" formatCode="_(* #,##0.000_);_(* \(#,##0.000\);_(* &quot;-&quot;??_);_(@_)"/>
    <numFmt numFmtId="170" formatCode="_(* #,##0.0_);_(* \(#,##0.0\);_(* &quot;-&quot;??_);_(@_)"/>
    <numFmt numFmtId="171" formatCode="0.00000"/>
    <numFmt numFmtId="172" formatCode="0.000"/>
  </numFmts>
  <fonts count="54">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sz val="12"/>
      <color theme="1"/>
      <name val="Calibri"/>
      <family val="2"/>
      <scheme val="minor"/>
    </font>
    <font>
      <sz val="11"/>
      <name val="Calibri"/>
      <family val="2"/>
      <scheme val="minor"/>
    </font>
    <font>
      <b/>
      <sz val="11"/>
      <name val="Calibri"/>
      <family val="2"/>
      <scheme val="minor"/>
    </font>
    <font>
      <sz val="12"/>
      <name val="Calibri"/>
      <family val="2"/>
      <scheme val="minor"/>
    </font>
    <font>
      <b/>
      <sz val="14"/>
      <name val="Calibri"/>
      <family val="2"/>
      <scheme val="minor"/>
    </font>
    <font>
      <sz val="12"/>
      <color rgb="FF222222"/>
      <name val="Calibri"/>
      <family val="2"/>
      <scheme val="minor"/>
    </font>
    <font>
      <b/>
      <sz val="12"/>
      <name val="Calibri"/>
      <family val="2"/>
      <scheme val="minor"/>
    </font>
    <font>
      <b/>
      <sz val="11"/>
      <name val="Lucida Sans"/>
      <family val="2"/>
    </font>
    <font>
      <u/>
      <sz val="11"/>
      <color theme="10"/>
      <name val="Calibri"/>
      <family val="2"/>
      <scheme val="minor"/>
    </font>
    <font>
      <b/>
      <sz val="16"/>
      <color theme="1"/>
      <name val="Calibri"/>
      <family val="2"/>
      <scheme val="minor"/>
    </font>
    <font>
      <sz val="14"/>
      <color theme="1"/>
      <name val="Calibri"/>
      <family val="2"/>
      <scheme val="minor"/>
    </font>
    <font>
      <b/>
      <sz val="11"/>
      <color theme="1"/>
      <name val="Calibri"/>
      <family val="2"/>
    </font>
    <font>
      <sz val="16"/>
      <color theme="1"/>
      <name val="Calibri"/>
      <family val="2"/>
      <scheme val="minor"/>
    </font>
    <font>
      <b/>
      <sz val="18"/>
      <color theme="1"/>
      <name val="Calibri"/>
      <family val="2"/>
      <scheme val="minor"/>
    </font>
    <font>
      <i/>
      <sz val="12"/>
      <color theme="1"/>
      <name val="Calibri"/>
      <family val="2"/>
      <scheme val="minor"/>
    </font>
    <font>
      <i/>
      <sz val="11"/>
      <color theme="1"/>
      <name val="Calibri"/>
      <family val="2"/>
      <scheme val="minor"/>
    </font>
    <font>
      <sz val="10"/>
      <color theme="1"/>
      <name val="Arial"/>
      <family val="2"/>
    </font>
    <font>
      <sz val="11"/>
      <color theme="1"/>
      <name val="Calibri"/>
      <family val="2"/>
    </font>
    <font>
      <b/>
      <sz val="11"/>
      <color theme="1"/>
      <name val="Lucida Sans"/>
      <family val="2"/>
    </font>
    <font>
      <b/>
      <sz val="14"/>
      <name val="Lucida Sans"/>
      <family val="2"/>
    </font>
    <font>
      <b/>
      <sz val="20"/>
      <color theme="1"/>
      <name val="Calibri"/>
      <family val="2"/>
      <scheme val="minor"/>
    </font>
    <font>
      <b/>
      <i/>
      <sz val="11"/>
      <color theme="1"/>
      <name val="Calibri"/>
      <family val="2"/>
      <scheme val="minor"/>
    </font>
    <font>
      <b/>
      <sz val="12"/>
      <color theme="1"/>
      <name val="Calibri"/>
      <family val="2"/>
    </font>
    <font>
      <b/>
      <sz val="12"/>
      <color theme="1"/>
      <name val="Arial"/>
      <family val="2"/>
    </font>
    <font>
      <sz val="12"/>
      <color theme="1"/>
      <name val="Arial"/>
      <family val="2"/>
    </font>
    <font>
      <b/>
      <i/>
      <sz val="9"/>
      <color theme="1"/>
      <name val="Calibri"/>
      <family val="2"/>
      <scheme val="minor"/>
    </font>
    <font>
      <b/>
      <i/>
      <sz val="8"/>
      <color theme="1"/>
      <name val="Calibri"/>
      <family val="2"/>
      <scheme val="minor"/>
    </font>
    <font>
      <sz val="12"/>
      <color rgb="FF000000"/>
      <name val="Calibri"/>
      <family val="2"/>
      <scheme val="minor"/>
    </font>
    <font>
      <b/>
      <i/>
      <sz val="12"/>
      <color theme="1"/>
      <name val="Calibri"/>
      <family val="2"/>
      <scheme val="minor"/>
    </font>
    <font>
      <b/>
      <sz val="22"/>
      <color theme="1"/>
      <name val="Calibri"/>
      <family val="2"/>
      <scheme val="minor"/>
    </font>
    <font>
      <b/>
      <sz val="10"/>
      <name val="Lucida Sans"/>
      <family val="2"/>
    </font>
    <font>
      <sz val="8"/>
      <color rgb="FF4D5156"/>
      <name val="Arial"/>
      <family val="2"/>
    </font>
    <font>
      <sz val="11"/>
      <color theme="1"/>
      <name val="Arial"/>
      <family val="2"/>
    </font>
    <font>
      <b/>
      <sz val="12"/>
      <color rgb="FF000000"/>
      <name val="Arial"/>
      <family val="2"/>
    </font>
    <font>
      <sz val="12"/>
      <color rgb="FF000000"/>
      <name val="Arial"/>
      <family val="2"/>
    </font>
    <font>
      <i/>
      <sz val="11"/>
      <color theme="1"/>
      <name val="Arial"/>
      <family val="2"/>
    </font>
    <font>
      <b/>
      <u/>
      <sz val="14"/>
      <color theme="10"/>
      <name val="Calibri"/>
      <family val="2"/>
      <scheme val="minor"/>
    </font>
    <font>
      <b/>
      <sz val="14"/>
      <name val="Arial"/>
      <family val="2"/>
    </font>
    <font>
      <b/>
      <sz val="36"/>
      <color theme="1"/>
      <name val="Arial"/>
      <family val="2"/>
    </font>
    <font>
      <b/>
      <sz val="26"/>
      <color theme="1"/>
      <name val="Arial"/>
      <family val="2"/>
    </font>
    <font>
      <sz val="26"/>
      <color rgb="FF000000"/>
      <name val="Arial"/>
      <family val="2"/>
    </font>
    <font>
      <sz val="16"/>
      <color rgb="FF000000"/>
      <name val="Arial"/>
      <family val="2"/>
    </font>
    <font>
      <u/>
      <sz val="12"/>
      <color theme="10"/>
      <name val="Calibri"/>
      <family val="2"/>
      <scheme val="minor"/>
    </font>
    <font>
      <u/>
      <sz val="28"/>
      <color theme="10"/>
      <name val="Calibri"/>
      <family val="2"/>
      <scheme val="minor"/>
    </font>
    <font>
      <sz val="26"/>
      <color theme="1"/>
      <name val="Arial"/>
      <family val="2"/>
    </font>
  </fonts>
  <fills count="24">
    <fill>
      <patternFill patternType="none"/>
    </fill>
    <fill>
      <patternFill patternType="gray125"/>
    </fill>
    <fill>
      <patternFill patternType="solid">
        <fgColor theme="5" tint="0.39997558519241921"/>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8CBAD"/>
        <bgColor indexed="64"/>
      </patternFill>
    </fill>
    <fill>
      <patternFill patternType="solid">
        <fgColor rgb="FF6D9EEB"/>
        <bgColor indexed="64"/>
      </patternFill>
    </fill>
    <fill>
      <patternFill patternType="solid">
        <fgColor rgb="FFBDD7EE"/>
        <bgColor indexed="64"/>
      </patternFill>
    </fill>
    <fill>
      <patternFill patternType="solid">
        <fgColor rgb="FFD9EAD3"/>
        <bgColor indexed="64"/>
      </patternFill>
    </fill>
    <fill>
      <patternFill patternType="solid">
        <fgColor theme="3" tint="0.59999389629810485"/>
        <bgColor indexed="64"/>
      </patternFill>
    </fill>
    <fill>
      <patternFill patternType="solid">
        <fgColor rgb="FFEDC280"/>
        <bgColor indexed="64"/>
      </patternFill>
    </fill>
  </fills>
  <borders count="86">
    <border>
      <left/>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auto="1"/>
      </left>
      <right/>
      <top style="thin">
        <color auto="1"/>
      </top>
      <bottom style="medium">
        <color indexed="64"/>
      </bottom>
      <diagonal/>
    </border>
    <border>
      <left style="thin">
        <color indexed="64"/>
      </left>
      <right/>
      <top style="medium">
        <color indexed="64"/>
      </top>
      <bottom style="medium">
        <color indexed="64"/>
      </bottom>
      <diagonal/>
    </border>
    <border>
      <left/>
      <right style="thin">
        <color auto="1"/>
      </right>
      <top style="medium">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diagonal/>
    </border>
    <border>
      <left/>
      <right style="thick">
        <color indexed="64"/>
      </right>
      <top style="thick">
        <color indexed="64"/>
      </top>
      <bottom/>
      <diagonal/>
    </border>
    <border>
      <left style="thick">
        <color indexed="64"/>
      </left>
      <right/>
      <top style="medium">
        <color indexed="64"/>
      </top>
      <bottom style="medium">
        <color indexed="64"/>
      </bottom>
      <diagonal/>
    </border>
    <border>
      <left/>
      <right style="thick">
        <color indexed="64"/>
      </right>
      <top/>
      <bottom/>
      <diagonal/>
    </border>
    <border>
      <left style="thick">
        <color indexed="64"/>
      </left>
      <right/>
      <top/>
      <bottom/>
      <diagonal/>
    </border>
    <border>
      <left style="thick">
        <color indexed="64"/>
      </left>
      <right style="thin">
        <color indexed="64"/>
      </right>
      <top style="medium">
        <color indexed="64"/>
      </top>
      <bottom/>
      <diagonal/>
    </border>
    <border>
      <left style="thick">
        <color indexed="64"/>
      </left>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top style="medium">
        <color indexed="64"/>
      </top>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medium">
        <color indexed="64"/>
      </left>
      <right/>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bottom/>
      <diagonal/>
    </border>
    <border>
      <left style="thin">
        <color indexed="64"/>
      </left>
      <right/>
      <top/>
      <bottom style="thin">
        <color indexed="64"/>
      </bottom>
      <diagonal/>
    </border>
  </borders>
  <cellStyleXfs count="7">
    <xf numFmtId="0" fontId="0" fillId="0" borderId="0"/>
    <xf numFmtId="43" fontId="5" fillId="0" borderId="0" applyFont="0" applyFill="0" applyBorder="0" applyAlignment="0" applyProtection="0"/>
    <xf numFmtId="9" fontId="5" fillId="0" borderId="0" applyFont="0" applyFill="0" applyBorder="0" applyAlignment="0" applyProtection="0"/>
    <xf numFmtId="0" fontId="17" fillId="0" borderId="0" applyNumberFormat="0" applyFill="0" applyBorder="0" applyAlignment="0" applyProtection="0"/>
    <xf numFmtId="0" fontId="19" fillId="3" borderId="0"/>
    <xf numFmtId="0" fontId="3" fillId="0" borderId="0"/>
    <xf numFmtId="0" fontId="51" fillId="0" borderId="0" applyNumberFormat="0" applyFill="0" applyBorder="0" applyAlignment="0" applyProtection="0"/>
  </cellStyleXfs>
  <cellXfs count="739">
    <xf numFmtId="0" fontId="0" fillId="0" borderId="0" xfId="0"/>
    <xf numFmtId="0" fontId="0" fillId="0" borderId="0" xfId="0" applyAlignment="1">
      <alignment horizontal="center"/>
    </xf>
    <xf numFmtId="165" fontId="0" fillId="0" borderId="0" xfId="2" applyNumberFormat="1" applyFont="1"/>
    <xf numFmtId="0" fontId="0" fillId="0" borderId="9" xfId="0" applyBorder="1"/>
    <xf numFmtId="3" fontId="10" fillId="0" borderId="3" xfId="0" applyNumberFormat="1" applyFont="1" applyBorder="1" applyAlignment="1">
      <alignment horizontal="center" wrapText="1"/>
    </xf>
    <xf numFmtId="3" fontId="10" fillId="0" borderId="11" xfId="0" applyNumberFormat="1" applyFont="1" applyBorder="1" applyAlignment="1">
      <alignment horizontal="center" wrapText="1"/>
    </xf>
    <xf numFmtId="0" fontId="10" fillId="0" borderId="13" xfId="0" applyFont="1" applyBorder="1" applyAlignment="1">
      <alignment horizontal="left" wrapText="1"/>
    </xf>
    <xf numFmtId="0" fontId="10" fillId="0" borderId="8" xfId="0" applyFont="1" applyBorder="1" applyAlignment="1">
      <alignment horizontal="left" wrapText="1"/>
    </xf>
    <xf numFmtId="0" fontId="0" fillId="0" borderId="13" xfId="0" applyBorder="1" applyAlignment="1">
      <alignment horizontal="left" wrapText="1"/>
    </xf>
    <xf numFmtId="0" fontId="0" fillId="0" borderId="8" xfId="0" applyBorder="1"/>
    <xf numFmtId="3" fontId="10" fillId="0" borderId="15" xfId="0" applyNumberFormat="1" applyFont="1" applyBorder="1" applyAlignment="1">
      <alignment horizontal="center" wrapText="1"/>
    </xf>
    <xf numFmtId="0" fontId="0" fillId="0" borderId="4" xfId="0" applyBorder="1"/>
    <xf numFmtId="0" fontId="0" fillId="0" borderId="7" xfId="0" applyBorder="1"/>
    <xf numFmtId="3" fontId="10" fillId="0" borderId="31" xfId="0" applyNumberFormat="1" applyFont="1" applyBorder="1" applyAlignment="1">
      <alignment horizontal="center" wrapText="1"/>
    </xf>
    <xf numFmtId="167" fontId="10" fillId="6" borderId="3" xfId="0" applyNumberFormat="1" applyFont="1" applyFill="1" applyBorder="1" applyAlignment="1">
      <alignment horizontal="center" wrapText="1"/>
    </xf>
    <xf numFmtId="3" fontId="10" fillId="6" borderId="15" xfId="0" applyNumberFormat="1" applyFont="1" applyFill="1" applyBorder="1" applyAlignment="1">
      <alignment horizontal="center" wrapText="1"/>
    </xf>
    <xf numFmtId="0" fontId="11" fillId="0" borderId="25" xfId="0" applyFont="1" applyBorder="1" applyAlignment="1">
      <alignment horizontal="center" wrapText="1"/>
    </xf>
    <xf numFmtId="0" fontId="11" fillId="0" borderId="27" xfId="0" applyFont="1" applyBorder="1" applyAlignment="1">
      <alignment horizontal="center" wrapText="1"/>
    </xf>
    <xf numFmtId="0" fontId="11" fillId="8" borderId="27" xfId="0" applyFont="1" applyFill="1" applyBorder="1" applyAlignment="1">
      <alignment horizontal="center" wrapText="1"/>
    </xf>
    <xf numFmtId="0" fontId="6" fillId="0" borderId="0" xfId="0" applyFont="1" applyAlignment="1">
      <alignment horizontal="right"/>
    </xf>
    <xf numFmtId="9" fontId="0" fillId="0" borderId="0" xfId="2" applyFont="1"/>
    <xf numFmtId="1" fontId="0" fillId="0" borderId="0" xfId="0" applyNumberFormat="1"/>
    <xf numFmtId="164" fontId="9" fillId="0" borderId="0" xfId="1" applyNumberFormat="1" applyFont="1" applyAlignment="1">
      <alignment horizontal="center"/>
    </xf>
    <xf numFmtId="164" fontId="9" fillId="0" borderId="0" xfId="1" applyNumberFormat="1" applyFont="1" applyAlignment="1">
      <alignment horizontal="right"/>
    </xf>
    <xf numFmtId="164" fontId="9" fillId="0" borderId="0" xfId="1" applyNumberFormat="1" applyFont="1"/>
    <xf numFmtId="43" fontId="9" fillId="0" borderId="0" xfId="1" applyFont="1"/>
    <xf numFmtId="169" fontId="0" fillId="0" borderId="0" xfId="1" applyNumberFormat="1" applyFont="1"/>
    <xf numFmtId="164" fontId="0" fillId="0" borderId="0" xfId="1" applyNumberFormat="1" applyFont="1"/>
    <xf numFmtId="0" fontId="0" fillId="9" borderId="21" xfId="0" applyFill="1" applyBorder="1"/>
    <xf numFmtId="0" fontId="0" fillId="9" borderId="20" xfId="0" applyFill="1" applyBorder="1"/>
    <xf numFmtId="164" fontId="0" fillId="0" borderId="0" xfId="0" applyNumberFormat="1"/>
    <xf numFmtId="164" fontId="6" fillId="0" borderId="0" xfId="0" applyNumberFormat="1" applyFont="1"/>
    <xf numFmtId="0" fontId="0" fillId="8" borderId="0" xfId="0" applyFill="1"/>
    <xf numFmtId="9" fontId="0" fillId="0" borderId="2" xfId="2" applyFont="1" applyBorder="1"/>
    <xf numFmtId="9" fontId="0" fillId="8" borderId="0" xfId="2" applyFont="1" applyFill="1"/>
    <xf numFmtId="3" fontId="11" fillId="0" borderId="0" xfId="0" applyNumberFormat="1" applyFont="1" applyAlignment="1">
      <alignment horizontal="center" wrapText="1"/>
    </xf>
    <xf numFmtId="168" fontId="11" fillId="0" borderId="0" xfId="0" applyNumberFormat="1" applyFont="1" applyAlignment="1">
      <alignment horizontal="center" wrapText="1"/>
    </xf>
    <xf numFmtId="165" fontId="6" fillId="0" borderId="0" xfId="2" applyNumberFormat="1" applyFont="1" applyFill="1" applyBorder="1"/>
    <xf numFmtId="0" fontId="10" fillId="0" borderId="0" xfId="0" applyFont="1" applyAlignment="1">
      <alignment horizontal="left" wrapText="1"/>
    </xf>
    <xf numFmtId="9" fontId="0" fillId="0" borderId="9" xfId="2" applyFont="1" applyFill="1" applyBorder="1"/>
    <xf numFmtId="0" fontId="10" fillId="0" borderId="32" xfId="0" applyFont="1" applyBorder="1" applyAlignment="1">
      <alignment horizontal="left" wrapText="1"/>
    </xf>
    <xf numFmtId="0" fontId="10" fillId="0" borderId="10" xfId="0" applyFont="1" applyBorder="1" applyAlignment="1">
      <alignment horizontal="left" wrapText="1"/>
    </xf>
    <xf numFmtId="9" fontId="0" fillId="6" borderId="9" xfId="2" applyFont="1" applyFill="1" applyBorder="1"/>
    <xf numFmtId="0" fontId="0" fillId="0" borderId="10" xfId="0" applyBorder="1" applyAlignment="1">
      <alignment horizontal="left" wrapText="1"/>
    </xf>
    <xf numFmtId="9" fontId="0" fillId="0" borderId="33" xfId="2" applyFont="1" applyFill="1" applyBorder="1"/>
    <xf numFmtId="0" fontId="10" fillId="0" borderId="34" xfId="0" applyFont="1" applyBorder="1" applyAlignment="1">
      <alignment horizontal="left" wrapText="1"/>
    </xf>
    <xf numFmtId="3" fontId="10" fillId="0" borderId="36" xfId="0" applyNumberFormat="1" applyFont="1" applyBorder="1" applyAlignment="1">
      <alignment horizontal="center" wrapText="1"/>
    </xf>
    <xf numFmtId="3" fontId="10" fillId="0" borderId="37" xfId="0" applyNumberFormat="1" applyFont="1" applyBorder="1" applyAlignment="1">
      <alignment horizontal="center" wrapText="1"/>
    </xf>
    <xf numFmtId="9" fontId="0" fillId="0" borderId="7" xfId="2" applyFont="1" applyFill="1" applyBorder="1"/>
    <xf numFmtId="3" fontId="10" fillId="0" borderId="35" xfId="0" applyNumberFormat="1" applyFont="1" applyBorder="1" applyAlignment="1">
      <alignment horizontal="center" wrapText="1"/>
    </xf>
    <xf numFmtId="9" fontId="0" fillId="0" borderId="12" xfId="2" applyFont="1" applyFill="1" applyBorder="1"/>
    <xf numFmtId="9" fontId="0" fillId="0" borderId="14" xfId="2" applyFont="1" applyFill="1" applyBorder="1"/>
    <xf numFmtId="0" fontId="10" fillId="0" borderId="6" xfId="0" applyFont="1" applyBorder="1" applyAlignment="1">
      <alignment horizontal="left" wrapText="1"/>
    </xf>
    <xf numFmtId="0" fontId="7" fillId="0" borderId="7" xfId="0" applyFont="1" applyBorder="1" applyAlignment="1">
      <alignment horizontal="center"/>
    </xf>
    <xf numFmtId="0" fontId="0" fillId="0" borderId="30" xfId="0" applyBorder="1"/>
    <xf numFmtId="0" fontId="0" fillId="0" borderId="3" xfId="0" applyBorder="1"/>
    <xf numFmtId="0" fontId="6" fillId="0" borderId="0" xfId="0" applyFont="1" applyAlignment="1">
      <alignment horizontal="center"/>
    </xf>
    <xf numFmtId="0" fontId="7" fillId="0" borderId="0" xfId="0" applyFont="1"/>
    <xf numFmtId="0" fontId="0" fillId="0" borderId="0" xfId="0" applyAlignment="1">
      <alignment wrapText="1"/>
    </xf>
    <xf numFmtId="0" fontId="8" fillId="4" borderId="18" xfId="0" applyFont="1" applyFill="1" applyBorder="1"/>
    <xf numFmtId="43" fontId="0" fillId="0" borderId="0" xfId="1" applyFont="1" applyFill="1"/>
    <xf numFmtId="0" fontId="7" fillId="0" borderId="0" xfId="0" applyFont="1" applyAlignment="1">
      <alignment horizontal="center"/>
    </xf>
    <xf numFmtId="164" fontId="11" fillId="0" borderId="0" xfId="0" applyNumberFormat="1" applyFont="1"/>
    <xf numFmtId="0" fontId="0" fillId="16" borderId="0" xfId="0" applyFill="1"/>
    <xf numFmtId="0" fontId="11" fillId="0" borderId="0" xfId="0" applyFont="1" applyAlignment="1">
      <alignment horizontal="center" wrapText="1"/>
    </xf>
    <xf numFmtId="0" fontId="9" fillId="0" borderId="0" xfId="0" applyFont="1"/>
    <xf numFmtId="0" fontId="18" fillId="0" borderId="0" xfId="0" applyFont="1"/>
    <xf numFmtId="0" fontId="18" fillId="0" borderId="2" xfId="0" applyFont="1" applyBorder="1" applyAlignment="1">
      <alignment horizontal="center"/>
    </xf>
    <xf numFmtId="0" fontId="21" fillId="0" borderId="0" xfId="0" applyFont="1"/>
    <xf numFmtId="0" fontId="18" fillId="0" borderId="30" xfId="0" applyFont="1" applyBorder="1" applyAlignment="1">
      <alignment horizontal="center"/>
    </xf>
    <xf numFmtId="164" fontId="5" fillId="7" borderId="30" xfId="1" applyNumberFormat="1" applyFont="1" applyFill="1" applyBorder="1"/>
    <xf numFmtId="164" fontId="0" fillId="0" borderId="30" xfId="1" applyNumberFormat="1" applyFont="1" applyBorder="1"/>
    <xf numFmtId="164" fontId="0" fillId="0" borderId="30" xfId="1" applyNumberFormat="1" applyFont="1" applyFill="1" applyBorder="1"/>
    <xf numFmtId="164" fontId="0" fillId="0" borderId="30" xfId="1" applyNumberFormat="1" applyFont="1" applyBorder="1" applyAlignment="1">
      <alignment horizontal="left" wrapText="1"/>
    </xf>
    <xf numFmtId="164" fontId="5" fillId="0" borderId="30" xfId="1" applyNumberFormat="1" applyFont="1" applyBorder="1"/>
    <xf numFmtId="164" fontId="5" fillId="0" borderId="30" xfId="1" applyNumberFormat="1" applyFont="1" applyFill="1" applyBorder="1"/>
    <xf numFmtId="164" fontId="5" fillId="0" borderId="30" xfId="1" applyNumberFormat="1" applyFont="1" applyBorder="1" applyAlignment="1">
      <alignment horizontal="left" wrapText="1"/>
    </xf>
    <xf numFmtId="164" fontId="0" fillId="7" borderId="30" xfId="1" applyNumberFormat="1" applyFont="1" applyFill="1" applyBorder="1"/>
    <xf numFmtId="164" fontId="6" fillId="0" borderId="30" xfId="1" applyNumberFormat="1" applyFont="1" applyBorder="1"/>
    <xf numFmtId="0" fontId="0" fillId="0" borderId="11" xfId="0" applyBorder="1"/>
    <xf numFmtId="164" fontId="0" fillId="0" borderId="11" xfId="1" applyNumberFormat="1" applyFont="1" applyBorder="1"/>
    <xf numFmtId="164" fontId="0" fillId="0" borderId="11" xfId="1" applyNumberFormat="1" applyFont="1" applyFill="1" applyBorder="1"/>
    <xf numFmtId="164" fontId="5" fillId="8" borderId="30" xfId="1" applyNumberFormat="1" applyFont="1" applyFill="1" applyBorder="1"/>
    <xf numFmtId="164" fontId="6" fillId="0" borderId="30" xfId="1" applyNumberFormat="1" applyFont="1" applyFill="1" applyBorder="1"/>
    <xf numFmtId="0" fontId="0" fillId="0" borderId="12" xfId="0" applyBorder="1"/>
    <xf numFmtId="164" fontId="5" fillId="0" borderId="9" xfId="1" applyNumberFormat="1" applyFont="1" applyBorder="1" applyAlignment="1">
      <alignment horizontal="left" wrapText="1"/>
    </xf>
    <xf numFmtId="164" fontId="5" fillId="7" borderId="9" xfId="1" applyNumberFormat="1" applyFont="1" applyFill="1" applyBorder="1"/>
    <xf numFmtId="164" fontId="0" fillId="0" borderId="9" xfId="1" applyNumberFormat="1" applyFont="1" applyBorder="1"/>
    <xf numFmtId="0" fontId="0" fillId="0" borderId="10" xfId="0" applyBorder="1"/>
    <xf numFmtId="164" fontId="6" fillId="0" borderId="11" xfId="1" applyNumberFormat="1" applyFont="1" applyBorder="1"/>
    <xf numFmtId="164" fontId="5" fillId="0" borderId="11" xfId="1" applyNumberFormat="1" applyFont="1" applyBorder="1"/>
    <xf numFmtId="164" fontId="5" fillId="0" borderId="11" xfId="1" applyNumberFormat="1" applyFont="1" applyBorder="1" applyAlignment="1">
      <alignment horizontal="left" wrapText="1"/>
    </xf>
    <xf numFmtId="164" fontId="0" fillId="0" borderId="9" xfId="1" applyNumberFormat="1" applyFont="1" applyBorder="1" applyAlignment="1">
      <alignment horizontal="left" wrapText="1"/>
    </xf>
    <xf numFmtId="0" fontId="6" fillId="0" borderId="8" xfId="0" applyFont="1" applyBorder="1"/>
    <xf numFmtId="164" fontId="0" fillId="0" borderId="9" xfId="1" applyNumberFormat="1" applyFont="1" applyFill="1" applyBorder="1" applyAlignment="1">
      <alignment horizontal="left" wrapText="1"/>
    </xf>
    <xf numFmtId="164" fontId="5" fillId="0" borderId="9" xfId="1" applyNumberFormat="1" applyFont="1" applyFill="1" applyBorder="1" applyAlignment="1">
      <alignment horizontal="left" wrapText="1"/>
    </xf>
    <xf numFmtId="164" fontId="5" fillId="0" borderId="9" xfId="1" applyNumberFormat="1" applyFont="1" applyBorder="1"/>
    <xf numFmtId="164" fontId="0" fillId="0" borderId="12" xfId="1" applyNumberFormat="1" applyFont="1" applyBorder="1"/>
    <xf numFmtId="164" fontId="0" fillId="0" borderId="0" xfId="1" applyNumberFormat="1" applyFont="1" applyFill="1"/>
    <xf numFmtId="164" fontId="9" fillId="0" borderId="0" xfId="1" applyNumberFormat="1" applyFont="1" applyFill="1"/>
    <xf numFmtId="0" fontId="7" fillId="0" borderId="30" xfId="0" applyFont="1" applyBorder="1" applyAlignment="1">
      <alignment horizontal="center"/>
    </xf>
    <xf numFmtId="164" fontId="12" fillId="0" borderId="30" xfId="1" applyNumberFormat="1" applyFont="1" applyFill="1" applyBorder="1" applyAlignment="1">
      <alignment horizontal="right"/>
    </xf>
    <xf numFmtId="164" fontId="12" fillId="0" borderId="30" xfId="1" applyNumberFormat="1" applyFont="1" applyBorder="1" applyAlignment="1">
      <alignment horizontal="right"/>
    </xf>
    <xf numFmtId="164" fontId="14" fillId="0" borderId="30" xfId="1" applyNumberFormat="1" applyFont="1" applyBorder="1" applyAlignment="1">
      <alignment horizontal="right"/>
    </xf>
    <xf numFmtId="164" fontId="9" fillId="8" borderId="30" xfId="1" applyNumberFormat="1" applyFont="1" applyFill="1" applyBorder="1" applyAlignment="1">
      <alignment horizontal="right"/>
    </xf>
    <xf numFmtId="164" fontId="9" fillId="8" borderId="30" xfId="0" applyNumberFormat="1" applyFont="1" applyFill="1" applyBorder="1"/>
    <xf numFmtId="164" fontId="9" fillId="0" borderId="30" xfId="1" applyNumberFormat="1" applyFont="1" applyBorder="1" applyAlignment="1">
      <alignment horizontal="right"/>
    </xf>
    <xf numFmtId="43" fontId="9" fillId="0" borderId="30" xfId="1" applyFont="1" applyBorder="1" applyAlignment="1">
      <alignment horizontal="center"/>
    </xf>
    <xf numFmtId="43" fontId="9" fillId="0" borderId="30" xfId="1" applyFont="1" applyFill="1" applyBorder="1" applyAlignment="1">
      <alignment horizontal="center"/>
    </xf>
    <xf numFmtId="164" fontId="9" fillId="0" borderId="30" xfId="1" applyNumberFormat="1" applyFont="1" applyBorder="1" applyAlignment="1">
      <alignment horizontal="center"/>
    </xf>
    <xf numFmtId="164" fontId="9" fillId="0" borderId="30" xfId="1" applyNumberFormat="1" applyFont="1" applyBorder="1"/>
    <xf numFmtId="43" fontId="9" fillId="0" borderId="30" xfId="1" applyFont="1" applyBorder="1"/>
    <xf numFmtId="0" fontId="7" fillId="0" borderId="30" xfId="0" applyFont="1" applyBorder="1" applyAlignment="1">
      <alignment horizontal="center" wrapText="1"/>
    </xf>
    <xf numFmtId="0" fontId="9" fillId="0" borderId="30" xfId="0" applyFont="1" applyBorder="1"/>
    <xf numFmtId="0" fontId="7" fillId="0" borderId="30" xfId="0" applyFont="1" applyBorder="1" applyAlignment="1">
      <alignment horizontal="center" vertical="center"/>
    </xf>
    <xf numFmtId="164" fontId="7" fillId="0" borderId="30" xfId="1" applyNumberFormat="1" applyFont="1" applyBorder="1" applyAlignment="1">
      <alignment horizontal="center" wrapText="1"/>
    </xf>
    <xf numFmtId="164" fontId="9" fillId="0" borderId="30" xfId="1" applyNumberFormat="1" applyFont="1" applyFill="1" applyBorder="1" applyAlignment="1">
      <alignment horizontal="center"/>
    </xf>
    <xf numFmtId="164" fontId="9" fillId="0" borderId="30" xfId="1" applyNumberFormat="1" applyFont="1" applyFill="1" applyBorder="1" applyAlignment="1">
      <alignment horizontal="right"/>
    </xf>
    <xf numFmtId="164" fontId="9" fillId="0" borderId="30" xfId="1" applyNumberFormat="1" applyFont="1" applyFill="1" applyBorder="1"/>
    <xf numFmtId="0" fontId="9" fillId="0" borderId="30" xfId="0" applyFont="1" applyBorder="1" applyAlignment="1">
      <alignment horizontal="center"/>
    </xf>
    <xf numFmtId="0" fontId="7" fillId="9" borderId="8" xfId="0" applyFont="1" applyFill="1" applyBorder="1"/>
    <xf numFmtId="164" fontId="7" fillId="0" borderId="8" xfId="1" applyNumberFormat="1" applyFont="1" applyBorder="1" applyAlignment="1">
      <alignment horizontal="left" wrapText="1"/>
    </xf>
    <xf numFmtId="164" fontId="14" fillId="0" borderId="9" xfId="1" applyNumberFormat="1" applyFont="1" applyBorder="1" applyAlignment="1">
      <alignment horizontal="right"/>
    </xf>
    <xf numFmtId="3" fontId="14" fillId="0" borderId="9" xfId="0" applyNumberFormat="1" applyFont="1" applyBorder="1"/>
    <xf numFmtId="43" fontId="7" fillId="0" borderId="8" xfId="1" applyFont="1" applyBorder="1" applyAlignment="1">
      <alignment horizontal="left" wrapText="1"/>
    </xf>
    <xf numFmtId="43" fontId="9" fillId="0" borderId="9" xfId="1" applyFont="1" applyBorder="1" applyAlignment="1">
      <alignment horizontal="center"/>
    </xf>
    <xf numFmtId="0" fontId="7" fillId="6" borderId="8" xfId="0" applyFont="1" applyFill="1" applyBorder="1"/>
    <xf numFmtId="164" fontId="9" fillId="0" borderId="9" xfId="1" applyNumberFormat="1" applyFont="1" applyBorder="1"/>
    <xf numFmtId="0" fontId="9" fillId="0" borderId="8" xfId="0" applyFont="1" applyBorder="1"/>
    <xf numFmtId="0" fontId="7" fillId="5" borderId="8" xfId="0" applyFont="1" applyFill="1" applyBorder="1"/>
    <xf numFmtId="0" fontId="7" fillId="15" borderId="8" xfId="0" applyFont="1" applyFill="1" applyBorder="1"/>
    <xf numFmtId="2" fontId="6" fillId="0" borderId="0" xfId="0" applyNumberFormat="1" applyFont="1"/>
    <xf numFmtId="0" fontId="6" fillId="0" borderId="0" xfId="0" applyFont="1"/>
    <xf numFmtId="0" fontId="24" fillId="11" borderId="30" xfId="0" applyFont="1" applyFill="1" applyBorder="1" applyAlignment="1">
      <alignment horizontal="center"/>
    </xf>
    <xf numFmtId="164" fontId="0" fillId="0" borderId="30" xfId="0" applyNumberFormat="1" applyBorder="1"/>
    <xf numFmtId="0" fontId="0" fillId="11" borderId="30" xfId="0" applyFill="1" applyBorder="1"/>
    <xf numFmtId="170" fontId="6" fillId="11" borderId="30" xfId="1" applyNumberFormat="1" applyFont="1" applyFill="1" applyBorder="1"/>
    <xf numFmtId="170" fontId="6" fillId="0" borderId="30" xfId="1" applyNumberFormat="1" applyFont="1" applyFill="1" applyBorder="1"/>
    <xf numFmtId="1" fontId="0" fillId="11" borderId="30" xfId="0" applyNumberFormat="1" applyFill="1" applyBorder="1"/>
    <xf numFmtId="39" fontId="0" fillId="0" borderId="30" xfId="0" applyNumberFormat="1" applyBorder="1"/>
    <xf numFmtId="166" fontId="6" fillId="11" borderId="30" xfId="0" applyNumberFormat="1" applyFont="1" applyFill="1" applyBorder="1"/>
    <xf numFmtId="166" fontId="6" fillId="0" borderId="30" xfId="0" applyNumberFormat="1" applyFont="1" applyBorder="1"/>
    <xf numFmtId="1" fontId="6" fillId="11" borderId="30" xfId="0" applyNumberFormat="1" applyFont="1" applyFill="1" applyBorder="1"/>
    <xf numFmtId="43" fontId="6" fillId="8" borderId="30" xfId="0" applyNumberFormat="1" applyFont="1" applyFill="1" applyBorder="1"/>
    <xf numFmtId="0" fontId="0" fillId="0" borderId="31" xfId="0" applyBorder="1"/>
    <xf numFmtId="43" fontId="6" fillId="17" borderId="3" xfId="0" applyNumberFormat="1" applyFont="1" applyFill="1" applyBorder="1"/>
    <xf numFmtId="0" fontId="23" fillId="0" borderId="30" xfId="0" applyFont="1" applyBorder="1" applyAlignment="1">
      <alignment horizontal="center"/>
    </xf>
    <xf numFmtId="164" fontId="6" fillId="0" borderId="3" xfId="0" applyNumberFormat="1" applyFont="1" applyBorder="1"/>
    <xf numFmtId="164" fontId="0" fillId="0" borderId="11" xfId="0" applyNumberFormat="1" applyBorder="1"/>
    <xf numFmtId="43" fontId="0" fillId="0" borderId="11" xfId="1" applyFont="1" applyBorder="1"/>
    <xf numFmtId="43" fontId="0" fillId="0" borderId="11" xfId="1" applyFont="1" applyFill="1" applyBorder="1"/>
    <xf numFmtId="0" fontId="0" fillId="0" borderId="38" xfId="0" applyBorder="1"/>
    <xf numFmtId="0" fontId="0" fillId="0" borderId="37" xfId="0" applyBorder="1"/>
    <xf numFmtId="0" fontId="0" fillId="0" borderId="13" xfId="0" applyBorder="1"/>
    <xf numFmtId="0" fontId="18" fillId="0" borderId="8" xfId="0" applyFont="1" applyBorder="1"/>
    <xf numFmtId="0" fontId="0" fillId="0" borderId="8" xfId="4" applyFont="1" applyFill="1" applyBorder="1" applyAlignment="1">
      <alignment wrapText="1"/>
    </xf>
    <xf numFmtId="0" fontId="0" fillId="0" borderId="10" xfId="4" applyFont="1" applyFill="1" applyBorder="1" applyAlignment="1">
      <alignment wrapText="1"/>
    </xf>
    <xf numFmtId="0" fontId="6" fillId="0" borderId="13" xfId="4" applyFont="1" applyFill="1" applyBorder="1" applyAlignment="1">
      <alignment wrapText="1"/>
    </xf>
    <xf numFmtId="0" fontId="6" fillId="0" borderId="13" xfId="0" applyFont="1" applyBorder="1"/>
    <xf numFmtId="0" fontId="0" fillId="0" borderId="32" xfId="0" applyBorder="1"/>
    <xf numFmtId="0" fontId="6" fillId="17" borderId="13" xfId="0" applyFont="1" applyFill="1" applyBorder="1"/>
    <xf numFmtId="0" fontId="0" fillId="0" borderId="8" xfId="0" applyBorder="1" applyAlignment="1">
      <alignment wrapText="1"/>
    </xf>
    <xf numFmtId="0" fontId="6" fillId="0" borderId="13" xfId="0" applyFont="1" applyBorder="1" applyAlignment="1">
      <alignment wrapText="1"/>
    </xf>
    <xf numFmtId="164" fontId="8" fillId="4" borderId="24" xfId="0" applyNumberFormat="1" applyFont="1" applyFill="1" applyBorder="1"/>
    <xf numFmtId="164" fontId="8" fillId="4" borderId="27" xfId="0" applyNumberFormat="1" applyFont="1" applyFill="1" applyBorder="1"/>
    <xf numFmtId="0" fontId="8" fillId="13" borderId="18" xfId="0" applyFont="1" applyFill="1" applyBorder="1"/>
    <xf numFmtId="0" fontId="0" fillId="0" borderId="22" xfId="0" applyBorder="1" applyAlignment="1">
      <alignment horizontal="center"/>
    </xf>
    <xf numFmtId="0" fontId="11" fillId="0" borderId="26" xfId="0" applyFont="1" applyBorder="1" applyAlignment="1">
      <alignment horizontal="center" wrapText="1"/>
    </xf>
    <xf numFmtId="0" fontId="6" fillId="17" borderId="10" xfId="0" applyFont="1" applyFill="1" applyBorder="1"/>
    <xf numFmtId="2" fontId="6" fillId="17" borderId="11" xfId="0" applyNumberFormat="1" applyFont="1" applyFill="1" applyBorder="1"/>
    <xf numFmtId="164" fontId="8" fillId="6" borderId="30" xfId="0" applyNumberFormat="1" applyFont="1" applyFill="1" applyBorder="1"/>
    <xf numFmtId="2" fontId="6" fillId="0" borderId="37" xfId="0" applyNumberFormat="1" applyFont="1" applyBorder="1"/>
    <xf numFmtId="0" fontId="8" fillId="6" borderId="8" xfId="0" applyFont="1" applyFill="1" applyBorder="1"/>
    <xf numFmtId="0" fontId="6" fillId="8" borderId="10" xfId="0" applyFont="1" applyFill="1" applyBorder="1"/>
    <xf numFmtId="2" fontId="6" fillId="8" borderId="11" xfId="0" applyNumberFormat="1" applyFont="1" applyFill="1" applyBorder="1"/>
    <xf numFmtId="2" fontId="6" fillId="0" borderId="38" xfId="0" applyNumberFormat="1" applyFont="1" applyBorder="1"/>
    <xf numFmtId="0" fontId="18" fillId="0" borderId="13" xfId="0" applyFont="1" applyBorder="1"/>
    <xf numFmtId="1" fontId="0" fillId="0" borderId="30" xfId="0" applyNumberFormat="1" applyBorder="1" applyAlignment="1">
      <alignment horizontal="center" wrapText="1"/>
    </xf>
    <xf numFmtId="164" fontId="0" fillId="0" borderId="37" xfId="1" applyNumberFormat="1" applyFont="1" applyBorder="1"/>
    <xf numFmtId="0" fontId="25" fillId="0" borderId="0" xfId="0" applyFont="1" applyAlignment="1">
      <alignment vertical="center" wrapText="1"/>
    </xf>
    <xf numFmtId="0" fontId="20" fillId="0" borderId="0" xfId="0" applyFont="1" applyAlignment="1">
      <alignment horizontal="center" vertical="center" wrapText="1"/>
    </xf>
    <xf numFmtId="0" fontId="26" fillId="0" borderId="0" xfId="0" applyFont="1" applyAlignment="1">
      <alignment horizontal="center" vertical="center" wrapText="1"/>
    </xf>
    <xf numFmtId="0" fontId="27" fillId="0" borderId="0" xfId="0" applyFont="1" applyAlignment="1">
      <alignment horizontal="center" vertical="center" wrapText="1"/>
    </xf>
    <xf numFmtId="0" fontId="6"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1" fontId="0" fillId="0" borderId="30" xfId="0" applyNumberFormat="1" applyBorder="1" applyAlignment="1">
      <alignment horizontal="center" vertical="center" wrapText="1"/>
    </xf>
    <xf numFmtId="1" fontId="0" fillId="13" borderId="30" xfId="0" applyNumberFormat="1" applyFill="1" applyBorder="1" applyAlignment="1">
      <alignment horizontal="center" wrapText="1"/>
    </xf>
    <xf numFmtId="0" fontId="0" fillId="0" borderId="8" xfId="0" applyBorder="1" applyAlignment="1">
      <alignment horizontal="left" vertical="center" wrapText="1"/>
    </xf>
    <xf numFmtId="0" fontId="0" fillId="0" borderId="32" xfId="0" applyBorder="1" applyAlignment="1">
      <alignment horizontal="left" vertical="center" wrapText="1"/>
    </xf>
    <xf numFmtId="1" fontId="0" fillId="0" borderId="31" xfId="0" applyNumberFormat="1" applyBorder="1" applyAlignment="1">
      <alignment horizontal="center" wrapText="1"/>
    </xf>
    <xf numFmtId="164" fontId="0" fillId="0" borderId="0" xfId="1" applyNumberFormat="1" applyFont="1" applyBorder="1"/>
    <xf numFmtId="166" fontId="0" fillId="0" borderId="30" xfId="0" applyNumberFormat="1" applyBorder="1"/>
    <xf numFmtId="170" fontId="0" fillId="0" borderId="31" xfId="0" applyNumberFormat="1" applyBorder="1"/>
    <xf numFmtId="0" fontId="0" fillId="0" borderId="27" xfId="0" applyBorder="1"/>
    <xf numFmtId="0" fontId="18" fillId="0" borderId="9" xfId="0" applyFont="1" applyBorder="1" applyAlignment="1">
      <alignment horizontal="center"/>
    </xf>
    <xf numFmtId="164" fontId="0" fillId="0" borderId="9" xfId="0" applyNumberFormat="1" applyBorder="1"/>
    <xf numFmtId="164" fontId="0" fillId="0" borderId="12" xfId="0" applyNumberFormat="1" applyBorder="1"/>
    <xf numFmtId="164" fontId="6" fillId="0" borderId="14" xfId="0" applyNumberFormat="1" applyFont="1" applyBorder="1"/>
    <xf numFmtId="164" fontId="8" fillId="4" borderId="26" xfId="0" applyNumberFormat="1" applyFont="1" applyFill="1" applyBorder="1"/>
    <xf numFmtId="43" fontId="6" fillId="17" borderId="14" xfId="0" applyNumberFormat="1" applyFont="1" applyFill="1" applyBorder="1"/>
    <xf numFmtId="2" fontId="6" fillId="17" borderId="12" xfId="0" applyNumberFormat="1" applyFont="1" applyFill="1" applyBorder="1"/>
    <xf numFmtId="164" fontId="8" fillId="6" borderId="9" xfId="0" applyNumberFormat="1" applyFont="1" applyFill="1" applyBorder="1"/>
    <xf numFmtId="43" fontId="6" fillId="8" borderId="9" xfId="0" applyNumberFormat="1" applyFont="1" applyFill="1" applyBorder="1"/>
    <xf numFmtId="2" fontId="6" fillId="8" borderId="12" xfId="0" applyNumberFormat="1" applyFont="1" applyFill="1" applyBorder="1"/>
    <xf numFmtId="166" fontId="0" fillId="0" borderId="9" xfId="0" applyNumberFormat="1" applyBorder="1"/>
    <xf numFmtId="170" fontId="0" fillId="0" borderId="33" xfId="0" applyNumberFormat="1" applyBorder="1"/>
    <xf numFmtId="4" fontId="15" fillId="0" borderId="30" xfId="0" applyNumberFormat="1" applyFont="1" applyBorder="1" applyAlignment="1">
      <alignment horizontal="right"/>
    </xf>
    <xf numFmtId="0" fontId="7" fillId="0" borderId="13" xfId="0" applyFont="1" applyBorder="1" applyAlignment="1">
      <alignment horizontal="right"/>
    </xf>
    <xf numFmtId="0" fontId="7" fillId="0" borderId="8" xfId="0" applyFont="1" applyBorder="1" applyAlignment="1">
      <alignment horizontal="right"/>
    </xf>
    <xf numFmtId="0" fontId="7" fillId="0" borderId="26" xfId="0" applyFont="1" applyBorder="1" applyAlignment="1">
      <alignment horizontal="center" wrapText="1"/>
    </xf>
    <xf numFmtId="0" fontId="13" fillId="14" borderId="25" xfId="0" applyFont="1" applyFill="1" applyBorder="1" applyAlignment="1">
      <alignment horizontal="left" wrapText="1"/>
    </xf>
    <xf numFmtId="3" fontId="13" fillId="14" borderId="27" xfId="0" applyNumberFormat="1" applyFont="1" applyFill="1" applyBorder="1" applyAlignment="1">
      <alignment horizontal="center" wrapText="1"/>
    </xf>
    <xf numFmtId="168" fontId="13" fillId="14" borderId="27" xfId="0" applyNumberFormat="1" applyFont="1" applyFill="1" applyBorder="1" applyAlignment="1">
      <alignment horizontal="center" wrapText="1"/>
    </xf>
    <xf numFmtId="168" fontId="13" fillId="14" borderId="23" xfId="0" applyNumberFormat="1" applyFont="1" applyFill="1" applyBorder="1" applyAlignment="1">
      <alignment horizontal="center" wrapText="1"/>
    </xf>
    <xf numFmtId="165" fontId="8" fillId="14" borderId="18" xfId="2" applyNumberFormat="1" applyFont="1" applyFill="1" applyBorder="1"/>
    <xf numFmtId="0" fontId="7" fillId="15" borderId="25" xfId="0" applyFont="1" applyFill="1" applyBorder="1"/>
    <xf numFmtId="170" fontId="7" fillId="15" borderId="27" xfId="0" applyNumberFormat="1" applyFont="1" applyFill="1" applyBorder="1"/>
    <xf numFmtId="170" fontId="7" fillId="15" borderId="26" xfId="0" applyNumberFormat="1" applyFont="1" applyFill="1" applyBorder="1"/>
    <xf numFmtId="164" fontId="8" fillId="0" borderId="16" xfId="0" applyNumberFormat="1" applyFont="1" applyBorder="1"/>
    <xf numFmtId="0" fontId="18" fillId="0" borderId="13" xfId="0" applyFont="1" applyBorder="1" applyAlignment="1">
      <alignment vertical="center"/>
    </xf>
    <xf numFmtId="0" fontId="18" fillId="0" borderId="30" xfId="0" applyFont="1" applyBorder="1" applyAlignment="1">
      <alignment horizontal="center" vertical="center"/>
    </xf>
    <xf numFmtId="164" fontId="18" fillId="0" borderId="39" xfId="0" applyNumberFormat="1" applyFont="1" applyBorder="1" applyAlignment="1">
      <alignment horizontal="center" vertical="center"/>
    </xf>
    <xf numFmtId="0" fontId="0" fillId="0" borderId="10" xfId="0" applyBorder="1" applyAlignment="1">
      <alignment vertical="center"/>
    </xf>
    <xf numFmtId="0" fontId="23" fillId="0" borderId="11" xfId="0" applyFont="1" applyBorder="1" applyAlignment="1">
      <alignment horizontal="center" vertical="center"/>
    </xf>
    <xf numFmtId="0" fontId="0" fillId="0" borderId="11" xfId="0" applyBorder="1" applyAlignment="1">
      <alignment vertical="center"/>
    </xf>
    <xf numFmtId="0" fontId="18" fillId="0" borderId="28" xfId="0" applyFont="1" applyBorder="1" applyAlignment="1">
      <alignment horizontal="center" vertical="center"/>
    </xf>
    <xf numFmtId="0" fontId="8" fillId="2" borderId="29" xfId="0" applyFont="1" applyFill="1" applyBorder="1" applyAlignment="1">
      <alignment vertical="center"/>
    </xf>
    <xf numFmtId="164" fontId="8" fillId="2" borderId="35" xfId="0" applyNumberFormat="1" applyFont="1" applyFill="1" applyBorder="1" applyAlignment="1">
      <alignment vertical="center"/>
    </xf>
    <xf numFmtId="10" fontId="18" fillId="2" borderId="40" xfId="2" applyNumberFormat="1" applyFont="1" applyFill="1" applyBorder="1" applyAlignment="1">
      <alignment horizontal="center" vertical="center"/>
    </xf>
    <xf numFmtId="0" fontId="13" fillId="5" borderId="13" xfId="0" applyFont="1" applyFill="1" applyBorder="1" applyAlignment="1">
      <alignment horizontal="left" vertical="center" wrapText="1"/>
    </xf>
    <xf numFmtId="43" fontId="8" fillId="5" borderId="3" xfId="0" applyNumberFormat="1" applyFont="1" applyFill="1" applyBorder="1" applyAlignment="1">
      <alignment vertical="center"/>
    </xf>
    <xf numFmtId="43" fontId="8" fillId="5" borderId="30" xfId="0" applyNumberFormat="1" applyFont="1" applyFill="1" applyBorder="1" applyAlignment="1">
      <alignment vertical="center"/>
    </xf>
    <xf numFmtId="10" fontId="18" fillId="5" borderId="39" xfId="2" applyNumberFormat="1" applyFont="1" applyFill="1" applyBorder="1" applyAlignment="1">
      <alignment horizontal="center" vertical="center"/>
    </xf>
    <xf numFmtId="0" fontId="8" fillId="5" borderId="10" xfId="0" applyFont="1" applyFill="1" applyBorder="1" applyAlignment="1">
      <alignment horizontal="left" vertical="center"/>
    </xf>
    <xf numFmtId="2" fontId="8" fillId="5" borderId="11" xfId="0" applyNumberFormat="1" applyFont="1" applyFill="1" applyBorder="1" applyAlignment="1">
      <alignment vertical="center"/>
    </xf>
    <xf numFmtId="10" fontId="18" fillId="5" borderId="28" xfId="2" applyNumberFormat="1" applyFont="1" applyFill="1" applyBorder="1" applyAlignment="1">
      <alignment horizontal="center" vertical="center"/>
    </xf>
    <xf numFmtId="0" fontId="8" fillId="0" borderId="13" xfId="0" applyFont="1" applyBorder="1" applyAlignment="1">
      <alignment horizontal="right"/>
    </xf>
    <xf numFmtId="164" fontId="19" fillId="0" borderId="3" xfId="1" applyNumberFormat="1" applyFont="1" applyBorder="1"/>
    <xf numFmtId="164" fontId="8" fillId="0" borderId="3" xfId="1" applyNumberFormat="1" applyFont="1" applyBorder="1"/>
    <xf numFmtId="0" fontId="8" fillId="0" borderId="8" xfId="0" applyFont="1" applyBorder="1" applyAlignment="1">
      <alignment horizontal="right"/>
    </xf>
    <xf numFmtId="3" fontId="28" fillId="0" borderId="30" xfId="0" applyNumberFormat="1" applyFont="1" applyBorder="1" applyAlignment="1">
      <alignment horizontal="right"/>
    </xf>
    <xf numFmtId="3" fontId="13" fillId="0" borderId="30" xfId="0" applyNumberFormat="1" applyFont="1" applyBorder="1" applyAlignment="1">
      <alignment horizontal="right"/>
    </xf>
    <xf numFmtId="3" fontId="13" fillId="0" borderId="9" xfId="0" applyNumberFormat="1" applyFont="1" applyBorder="1" applyAlignment="1">
      <alignment horizontal="right"/>
    </xf>
    <xf numFmtId="4" fontId="13" fillId="0" borderId="30" xfId="0" applyNumberFormat="1" applyFont="1" applyBorder="1" applyAlignment="1">
      <alignment horizontal="right"/>
    </xf>
    <xf numFmtId="0" fontId="8" fillId="0" borderId="10" xfId="0" applyFont="1" applyBorder="1" applyAlignment="1">
      <alignment horizontal="right"/>
    </xf>
    <xf numFmtId="164" fontId="19" fillId="0" borderId="11" xfId="1" applyNumberFormat="1" applyFont="1" applyBorder="1"/>
    <xf numFmtId="164" fontId="9" fillId="0" borderId="3" xfId="1" applyNumberFormat="1" applyFont="1" applyBorder="1"/>
    <xf numFmtId="3" fontId="8" fillId="0" borderId="11" xfId="0" applyNumberFormat="1" applyFont="1" applyBorder="1" applyAlignment="1">
      <alignment horizontal="right" wrapText="1"/>
    </xf>
    <xf numFmtId="3" fontId="8" fillId="0" borderId="12" xfId="0" applyNumberFormat="1" applyFont="1" applyBorder="1" applyAlignment="1">
      <alignment horizontal="right" wrapText="1"/>
    </xf>
    <xf numFmtId="0" fontId="29" fillId="9" borderId="19" xfId="0" applyFont="1" applyFill="1" applyBorder="1" applyAlignment="1">
      <alignment vertical="center"/>
    </xf>
    <xf numFmtId="0" fontId="7" fillId="9" borderId="21" xfId="0" applyFont="1" applyFill="1" applyBorder="1"/>
    <xf numFmtId="0" fontId="30" fillId="0" borderId="27" xfId="0" applyFont="1" applyBorder="1" applyAlignment="1">
      <alignment horizontal="center" vertical="center" wrapText="1"/>
    </xf>
    <xf numFmtId="0" fontId="30" fillId="0" borderId="26" xfId="0" applyFont="1" applyBorder="1" applyAlignment="1">
      <alignment horizontal="center" vertical="center" wrapText="1"/>
    </xf>
    <xf numFmtId="0" fontId="7" fillId="0" borderId="10" xfId="0" applyFont="1" applyBorder="1" applyAlignment="1">
      <alignment horizontal="right"/>
    </xf>
    <xf numFmtId="0" fontId="7" fillId="0" borderId="11" xfId="0" applyFont="1" applyBorder="1" applyAlignment="1">
      <alignment horizontal="center"/>
    </xf>
    <xf numFmtId="164" fontId="7" fillId="0" borderId="3" xfId="1" applyNumberFormat="1" applyFont="1" applyBorder="1" applyAlignment="1"/>
    <xf numFmtId="164" fontId="7" fillId="0" borderId="14" xfId="1" applyNumberFormat="1" applyFont="1" applyBorder="1" applyAlignment="1"/>
    <xf numFmtId="3" fontId="15" fillId="0" borderId="30" xfId="0" applyNumberFormat="1" applyFont="1" applyBorder="1"/>
    <xf numFmtId="168" fontId="15" fillId="0" borderId="30" xfId="0" applyNumberFormat="1" applyFont="1" applyBorder="1"/>
    <xf numFmtId="0" fontId="7" fillId="0" borderId="11" xfId="0" applyFont="1" applyBorder="1"/>
    <xf numFmtId="0" fontId="7" fillId="0" borderId="12" xfId="0" applyFont="1" applyBorder="1"/>
    <xf numFmtId="0" fontId="7" fillId="0" borderId="6" xfId="0" applyFont="1" applyBorder="1" applyAlignment="1">
      <alignment horizontal="right" vertical="center" wrapText="1"/>
    </xf>
    <xf numFmtId="1" fontId="9" fillId="0" borderId="37" xfId="0" applyNumberFormat="1" applyFont="1" applyBorder="1" applyAlignment="1">
      <alignment horizontal="center" vertical="center" wrapText="1"/>
    </xf>
    <xf numFmtId="164" fontId="7" fillId="21" borderId="37" xfId="1" applyNumberFormat="1" applyFont="1" applyFill="1" applyBorder="1" applyAlignment="1">
      <alignment horizontal="center" vertical="center" wrapText="1"/>
    </xf>
    <xf numFmtId="164" fontId="7" fillId="0" borderId="37" xfId="1" applyNumberFormat="1" applyFont="1" applyFill="1" applyBorder="1" applyAlignment="1">
      <alignment horizontal="center" vertical="center" wrapText="1"/>
    </xf>
    <xf numFmtId="0" fontId="31" fillId="0" borderId="8" xfId="0" applyFont="1" applyBorder="1" applyAlignment="1">
      <alignment horizontal="right" vertical="center" wrapText="1"/>
    </xf>
    <xf numFmtId="1" fontId="9" fillId="0" borderId="30" xfId="0" applyNumberFormat="1" applyFont="1" applyBorder="1" applyAlignment="1">
      <alignment horizontal="center" vertical="center" wrapText="1"/>
    </xf>
    <xf numFmtId="1" fontId="7" fillId="0" borderId="30" xfId="0" applyNumberFormat="1" applyFont="1" applyBorder="1" applyAlignment="1">
      <alignment horizontal="center" vertical="center" wrapText="1"/>
    </xf>
    <xf numFmtId="0" fontId="33" fillId="0" borderId="11" xfId="0" applyFont="1" applyBorder="1" applyAlignment="1">
      <alignment vertical="center" wrapText="1"/>
    </xf>
    <xf numFmtId="1" fontId="32" fillId="0" borderId="11" xfId="0" applyNumberFormat="1" applyFont="1" applyBorder="1" applyAlignment="1">
      <alignment horizontal="center" vertical="center" wrapText="1"/>
    </xf>
    <xf numFmtId="43" fontId="9" fillId="0" borderId="3" xfId="1" applyFont="1" applyBorder="1"/>
    <xf numFmtId="0" fontId="6" fillId="0" borderId="8" xfId="0" applyFont="1" applyBorder="1" applyAlignment="1">
      <alignment wrapText="1"/>
    </xf>
    <xf numFmtId="170" fontId="9" fillId="0" borderId="30" xfId="1" applyNumberFormat="1" applyFont="1" applyFill="1" applyBorder="1" applyAlignment="1">
      <alignment horizontal="center"/>
    </xf>
    <xf numFmtId="170" fontId="9" fillId="0" borderId="30" xfId="1" applyNumberFormat="1" applyFont="1" applyBorder="1" applyAlignment="1">
      <alignment horizontal="center"/>
    </xf>
    <xf numFmtId="170" fontId="9" fillId="0" borderId="9" xfId="1" applyNumberFormat="1" applyFont="1" applyBorder="1" applyAlignment="1">
      <alignment horizontal="center"/>
    </xf>
    <xf numFmtId="1" fontId="0" fillId="13" borderId="30" xfId="0" applyNumberFormat="1" applyFill="1" applyBorder="1" applyAlignment="1">
      <alignment horizontal="center" vertical="center" wrapText="1"/>
    </xf>
    <xf numFmtId="0" fontId="17" fillId="0" borderId="0" xfId="3" applyFill="1" applyBorder="1"/>
    <xf numFmtId="0" fontId="22" fillId="0" borderId="0" xfId="0" applyFont="1"/>
    <xf numFmtId="0" fontId="8" fillId="0" borderId="0" xfId="0" applyFont="1"/>
    <xf numFmtId="165" fontId="0" fillId="0" borderId="0" xfId="2" applyNumberFormat="1" applyFont="1" applyFill="1"/>
    <xf numFmtId="43" fontId="0" fillId="0" borderId="0" xfId="0" applyNumberFormat="1"/>
    <xf numFmtId="169" fontId="0" fillId="0" borderId="0" xfId="0" applyNumberFormat="1"/>
    <xf numFmtId="164" fontId="9" fillId="0" borderId="30" xfId="1" applyNumberFormat="1" applyFont="1" applyFill="1" applyBorder="1" applyAlignment="1">
      <alignment vertical="top"/>
    </xf>
    <xf numFmtId="0" fontId="7" fillId="0" borderId="8" xfId="0" applyFont="1" applyBorder="1"/>
    <xf numFmtId="0" fontId="24" fillId="11" borderId="10" xfId="0" applyFont="1" applyFill="1" applyBorder="1"/>
    <xf numFmtId="0" fontId="7" fillId="9" borderId="6" xfId="0" applyFont="1" applyFill="1" applyBorder="1"/>
    <xf numFmtId="0" fontId="7" fillId="0" borderId="37" xfId="0" applyFont="1" applyBorder="1" applyAlignment="1">
      <alignment horizontal="center"/>
    </xf>
    <xf numFmtId="0" fontId="23" fillId="8" borderId="37" xfId="0" applyFont="1" applyFill="1" applyBorder="1" applyAlignment="1">
      <alignment horizontal="center"/>
    </xf>
    <xf numFmtId="43" fontId="9" fillId="0" borderId="9" xfId="1" applyFont="1" applyFill="1" applyBorder="1" applyAlignment="1">
      <alignment horizontal="center"/>
    </xf>
    <xf numFmtId="0" fontId="0" fillId="0" borderId="24" xfId="0" applyBorder="1"/>
    <xf numFmtId="0" fontId="18" fillId="0" borderId="29" xfId="0" applyFont="1" applyBorder="1"/>
    <xf numFmtId="0" fontId="18" fillId="0" borderId="35" xfId="0" applyFont="1" applyBorder="1" applyAlignment="1">
      <alignment horizontal="center"/>
    </xf>
    <xf numFmtId="0" fontId="18" fillId="0" borderId="17" xfId="0" applyFont="1" applyBorder="1" applyAlignment="1">
      <alignment horizontal="center"/>
    </xf>
    <xf numFmtId="0" fontId="0" fillId="0" borderId="24" xfId="0" applyBorder="1" applyAlignment="1">
      <alignment vertical="center" wrapText="1"/>
    </xf>
    <xf numFmtId="0" fontId="0" fillId="0" borderId="27" xfId="0" applyBorder="1" applyAlignment="1">
      <alignment vertical="center" wrapText="1"/>
    </xf>
    <xf numFmtId="0" fontId="34" fillId="0" borderId="27" xfId="0" applyFont="1" applyBorder="1" applyAlignment="1">
      <alignment horizontal="center" vertical="center" wrapText="1"/>
    </xf>
    <xf numFmtId="0" fontId="0" fillId="0" borderId="13" xfId="0" applyBorder="1" applyAlignment="1">
      <alignment horizontal="left" vertical="center" wrapText="1"/>
    </xf>
    <xf numFmtId="0" fontId="0" fillId="0" borderId="3" xfId="0" applyBorder="1" applyAlignment="1">
      <alignment vertical="center" wrapText="1"/>
    </xf>
    <xf numFmtId="1" fontId="0" fillId="0" borderId="3" xfId="0" applyNumberFormat="1" applyBorder="1" applyAlignment="1">
      <alignment horizontal="center" vertical="center" wrapText="1"/>
    </xf>
    <xf numFmtId="1" fontId="0" fillId="0" borderId="3" xfId="0" applyNumberFormat="1" applyBorder="1" applyAlignment="1">
      <alignment horizontal="center" wrapText="1"/>
    </xf>
    <xf numFmtId="0" fontId="8" fillId="0" borderId="29" xfId="0" applyFont="1" applyBorder="1" applyAlignment="1">
      <alignment horizontal="left" vertical="center" wrapText="1"/>
    </xf>
    <xf numFmtId="0" fontId="8" fillId="0" borderId="35"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17" xfId="0" applyFont="1" applyBorder="1" applyAlignment="1">
      <alignment horizontal="center" vertical="center" wrapText="1"/>
    </xf>
    <xf numFmtId="0" fontId="8" fillId="0" borderId="25" xfId="0" applyFont="1" applyBorder="1" applyAlignment="1">
      <alignment wrapText="1"/>
    </xf>
    <xf numFmtId="0" fontId="8" fillId="0" borderId="27" xfId="0" applyFont="1" applyBorder="1" applyAlignment="1">
      <alignment horizontal="center" wrapText="1"/>
    </xf>
    <xf numFmtId="0" fontId="18" fillId="0" borderId="42" xfId="0" applyFont="1" applyBorder="1"/>
    <xf numFmtId="0" fontId="18" fillId="0" borderId="15" xfId="0" applyFont="1" applyBorder="1" applyAlignment="1">
      <alignment horizontal="center"/>
    </xf>
    <xf numFmtId="0" fontId="18" fillId="0" borderId="43" xfId="0" applyFont="1" applyBorder="1" applyAlignment="1">
      <alignment horizontal="center"/>
    </xf>
    <xf numFmtId="9" fontId="6" fillId="0" borderId="0" xfId="0" applyNumberFormat="1" applyFont="1" applyAlignment="1">
      <alignment wrapText="1"/>
    </xf>
    <xf numFmtId="0" fontId="6" fillId="0" borderId="0" xfId="0" applyFont="1" applyAlignment="1">
      <alignment wrapText="1"/>
    </xf>
    <xf numFmtId="0" fontId="0" fillId="0" borderId="14" xfId="0" applyBorder="1"/>
    <xf numFmtId="0" fontId="0" fillId="0" borderId="6" xfId="0" applyBorder="1" applyAlignment="1">
      <alignment horizontal="left" vertical="center" wrapText="1"/>
    </xf>
    <xf numFmtId="164" fontId="5" fillId="7" borderId="37" xfId="1" applyNumberFormat="1" applyFont="1" applyFill="1" applyBorder="1"/>
    <xf numFmtId="164" fontId="0" fillId="0" borderId="37" xfId="1" applyNumberFormat="1" applyFont="1" applyFill="1" applyBorder="1"/>
    <xf numFmtId="164" fontId="0" fillId="0" borderId="7" xfId="1" applyNumberFormat="1" applyFont="1" applyBorder="1" applyAlignment="1">
      <alignment horizontal="left" wrapText="1"/>
    </xf>
    <xf numFmtId="0" fontId="0" fillId="0" borderId="10" xfId="0" applyBorder="1" applyAlignment="1">
      <alignment horizontal="left" vertical="center" wrapText="1"/>
    </xf>
    <xf numFmtId="164" fontId="0" fillId="8" borderId="37" xfId="1" applyNumberFormat="1" applyFont="1" applyFill="1" applyBorder="1"/>
    <xf numFmtId="164" fontId="5" fillId="0" borderId="37" xfId="1" applyNumberFormat="1" applyFont="1" applyFill="1" applyBorder="1"/>
    <xf numFmtId="164" fontId="5" fillId="0" borderId="37" xfId="1" applyNumberFormat="1" applyFont="1" applyBorder="1"/>
    <xf numFmtId="0" fontId="7" fillId="0" borderId="10" xfId="0" applyFont="1" applyBorder="1" applyAlignment="1">
      <alignment horizontal="right" vertical="center" wrapText="1"/>
    </xf>
    <xf numFmtId="0" fontId="9" fillId="0" borderId="13" xfId="0" applyFont="1" applyBorder="1" applyAlignment="1">
      <alignment horizontal="left"/>
    </xf>
    <xf numFmtId="0" fontId="9" fillId="0" borderId="14" xfId="0" applyFont="1" applyBorder="1" applyAlignment="1">
      <alignment horizontal="center"/>
    </xf>
    <xf numFmtId="0" fontId="9" fillId="0" borderId="32" xfId="0" applyFont="1" applyBorder="1" applyAlignment="1">
      <alignment horizontal="left"/>
    </xf>
    <xf numFmtId="0" fontId="9" fillId="0" borderId="33" xfId="0" applyFont="1" applyBorder="1" applyAlignment="1">
      <alignment horizontal="center"/>
    </xf>
    <xf numFmtId="0" fontId="36" fillId="0" borderId="3" xfId="0" applyFont="1" applyBorder="1" applyAlignment="1">
      <alignment horizontal="center"/>
    </xf>
    <xf numFmtId="0" fontId="9" fillId="0" borderId="8" xfId="0" applyFont="1" applyBorder="1" applyAlignment="1">
      <alignment horizontal="left"/>
    </xf>
    <xf numFmtId="0" fontId="36" fillId="0" borderId="30" xfId="0" applyFont="1" applyBorder="1" applyAlignment="1">
      <alignment horizontal="center"/>
    </xf>
    <xf numFmtId="0" fontId="9" fillId="0" borderId="9" xfId="0" applyFont="1" applyBorder="1" applyAlignment="1">
      <alignment horizontal="center"/>
    </xf>
    <xf numFmtId="0" fontId="36" fillId="0" borderId="31" xfId="0" applyFont="1" applyBorder="1" applyAlignment="1">
      <alignment horizontal="center"/>
    </xf>
    <xf numFmtId="0" fontId="9" fillId="0" borderId="29" xfId="0" applyFont="1" applyBorder="1" applyAlignment="1">
      <alignment horizontal="left"/>
    </xf>
    <xf numFmtId="0" fontId="9" fillId="0" borderId="35" xfId="0" applyFont="1" applyBorder="1" applyAlignment="1">
      <alignment horizontal="center"/>
    </xf>
    <xf numFmtId="0" fontId="9" fillId="0" borderId="17" xfId="0" applyFont="1" applyBorder="1" applyAlignment="1">
      <alignment horizontal="center"/>
    </xf>
    <xf numFmtId="0" fontId="8" fillId="0" borderId="34" xfId="0" applyFont="1" applyBorder="1" applyAlignment="1">
      <alignment horizontal="center"/>
    </xf>
    <xf numFmtId="0" fontId="8" fillId="0" borderId="36" xfId="0" applyFont="1" applyBorder="1" applyAlignment="1">
      <alignment horizontal="center"/>
    </xf>
    <xf numFmtId="0" fontId="8" fillId="0" borderId="44" xfId="0" applyFont="1" applyBorder="1" applyAlignment="1">
      <alignment horizontal="center"/>
    </xf>
    <xf numFmtId="0" fontId="9" fillId="0" borderId="6" xfId="0" applyFont="1" applyBorder="1" applyAlignment="1">
      <alignment horizontal="left"/>
    </xf>
    <xf numFmtId="0" fontId="9" fillId="0" borderId="7" xfId="0" applyFont="1" applyBorder="1" applyAlignment="1">
      <alignment horizontal="center"/>
    </xf>
    <xf numFmtId="0" fontId="18" fillId="3" borderId="19" xfId="0" applyFont="1" applyFill="1" applyBorder="1" applyAlignment="1">
      <alignment horizontal="center" vertical="center"/>
    </xf>
    <xf numFmtId="0" fontId="18" fillId="3" borderId="18" xfId="0" applyFont="1" applyFill="1" applyBorder="1" applyAlignment="1">
      <alignment horizontal="center" vertical="center"/>
    </xf>
    <xf numFmtId="0" fontId="37" fillId="0" borderId="13" xfId="0" applyFont="1" applyBorder="1" applyAlignment="1">
      <alignment horizontal="center" vertical="center" wrapText="1"/>
    </xf>
    <xf numFmtId="0" fontId="9" fillId="0" borderId="14" xfId="0" applyFont="1" applyBorder="1" applyAlignment="1">
      <alignment horizontal="left" vertical="center" wrapText="1"/>
    </xf>
    <xf numFmtId="0" fontId="37" fillId="0" borderId="8" xfId="0" applyFont="1" applyBorder="1" applyAlignment="1">
      <alignment horizontal="center" vertical="center" wrapText="1"/>
    </xf>
    <xf numFmtId="0" fontId="9" fillId="0" borderId="9" xfId="0" applyFont="1" applyBorder="1" applyAlignment="1">
      <alignment horizontal="left" vertical="center" wrapText="1"/>
    </xf>
    <xf numFmtId="0" fontId="37" fillId="0" borderId="10" xfId="0" applyFont="1" applyBorder="1" applyAlignment="1">
      <alignment horizontal="center" vertical="center" wrapText="1"/>
    </xf>
    <xf numFmtId="0" fontId="9" fillId="0" borderId="12" xfId="0" applyFont="1" applyBorder="1" applyAlignment="1">
      <alignment horizontal="left" vertical="center" wrapText="1"/>
    </xf>
    <xf numFmtId="171" fontId="9" fillId="0" borderId="37" xfId="0" applyNumberFormat="1"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166" fontId="7" fillId="4" borderId="18" xfId="0" applyNumberFormat="1" applyFont="1" applyFill="1" applyBorder="1" applyAlignment="1">
      <alignment horizontal="center"/>
    </xf>
    <xf numFmtId="164" fontId="11" fillId="0" borderId="30" xfId="0" applyNumberFormat="1" applyFont="1" applyBorder="1"/>
    <xf numFmtId="3" fontId="39" fillId="0" borderId="30" xfId="0" applyNumberFormat="1" applyFont="1" applyBorder="1" applyAlignment="1">
      <alignment horizontal="right"/>
    </xf>
    <xf numFmtId="164" fontId="11" fillId="0" borderId="11" xfId="0" applyNumberFormat="1" applyFont="1" applyBorder="1"/>
    <xf numFmtId="0" fontId="6" fillId="0" borderId="13" xfId="0" applyFont="1" applyBorder="1" applyAlignment="1">
      <alignment horizontal="right"/>
    </xf>
    <xf numFmtId="0" fontId="6" fillId="0" borderId="10" xfId="0" applyFont="1" applyBorder="1" applyAlignment="1">
      <alignment horizontal="right"/>
    </xf>
    <xf numFmtId="0" fontId="10" fillId="0" borderId="13" xfId="0" applyFont="1" applyBorder="1" applyAlignment="1">
      <alignment horizontal="left" vertical="center" wrapText="1"/>
    </xf>
    <xf numFmtId="0" fontId="10" fillId="0" borderId="3" xfId="0" applyFont="1" applyBorder="1" applyAlignment="1">
      <alignment horizontal="left" vertical="center" wrapText="1"/>
    </xf>
    <xf numFmtId="3" fontId="10" fillId="0" borderId="3" xfId="0" applyNumberFormat="1" applyFont="1" applyBorder="1" applyAlignment="1">
      <alignment horizontal="center" vertical="center" wrapText="1"/>
    </xf>
    <xf numFmtId="3" fontId="10" fillId="8" borderId="3" xfId="0" applyNumberFormat="1" applyFont="1" applyFill="1" applyBorder="1" applyAlignment="1">
      <alignment horizontal="center" vertical="center" wrapText="1"/>
    </xf>
    <xf numFmtId="0" fontId="10" fillId="0" borderId="3" xfId="0" applyFont="1" applyBorder="1" applyAlignment="1">
      <alignment horizontal="center" vertical="center" wrapText="1"/>
    </xf>
    <xf numFmtId="9" fontId="0" fillId="0" borderId="3" xfId="2" applyFont="1" applyBorder="1" applyAlignment="1">
      <alignment horizontal="center" vertical="center"/>
    </xf>
    <xf numFmtId="2" fontId="0" fillId="0" borderId="3" xfId="0" applyNumberFormat="1" applyBorder="1" applyAlignment="1">
      <alignment horizontal="center" vertical="center"/>
    </xf>
    <xf numFmtId="166" fontId="0" fillId="0" borderId="14" xfId="0" applyNumberFormat="1" applyBorder="1" applyAlignment="1">
      <alignment horizontal="center" vertical="center"/>
    </xf>
    <xf numFmtId="0" fontId="0" fillId="0" borderId="0" xfId="0" applyAlignment="1">
      <alignment vertical="center"/>
    </xf>
    <xf numFmtId="0" fontId="10" fillId="0" borderId="8" xfId="0" applyFont="1" applyBorder="1" applyAlignment="1">
      <alignment horizontal="left" vertical="center" wrapText="1"/>
    </xf>
    <xf numFmtId="0" fontId="10" fillId="0" borderId="30" xfId="0" applyFont="1" applyBorder="1" applyAlignment="1">
      <alignment horizontal="left" vertical="center" wrapText="1"/>
    </xf>
    <xf numFmtId="3" fontId="10" fillId="0" borderId="30" xfId="0" applyNumberFormat="1" applyFont="1" applyBorder="1" applyAlignment="1">
      <alignment horizontal="center" vertical="center" wrapText="1"/>
    </xf>
    <xf numFmtId="3" fontId="10" fillId="8" borderId="30" xfId="0" applyNumberFormat="1" applyFont="1" applyFill="1" applyBorder="1" applyAlignment="1">
      <alignment horizontal="center" vertical="center" wrapText="1"/>
    </xf>
    <xf numFmtId="0" fontId="10" fillId="0" borderId="30" xfId="0" applyFont="1" applyBorder="1" applyAlignment="1">
      <alignment horizontal="center" vertical="center" wrapText="1"/>
    </xf>
    <xf numFmtId="9" fontId="0" fillId="0" borderId="30" xfId="2" applyFont="1" applyBorder="1" applyAlignment="1">
      <alignment horizontal="center" vertical="center"/>
    </xf>
    <xf numFmtId="2" fontId="0" fillId="0" borderId="30" xfId="0" applyNumberFormat="1" applyBorder="1" applyAlignment="1">
      <alignment horizontal="center" vertical="center"/>
    </xf>
    <xf numFmtId="166" fontId="0" fillId="0" borderId="9" xfId="0" applyNumberFormat="1" applyBorder="1" applyAlignment="1">
      <alignment horizontal="center" vertical="center"/>
    </xf>
    <xf numFmtId="0" fontId="0" fillId="0" borderId="30" xfId="0" applyBorder="1" applyAlignment="1">
      <alignment horizontal="left" vertical="center" wrapText="1"/>
    </xf>
    <xf numFmtId="0" fontId="11" fillId="7" borderId="8" xfId="0" applyFont="1" applyFill="1" applyBorder="1" applyAlignment="1">
      <alignment horizontal="left" vertical="center" wrapText="1"/>
    </xf>
    <xf numFmtId="0" fontId="11" fillId="7" borderId="30" xfId="0" applyFont="1" applyFill="1" applyBorder="1" applyAlignment="1">
      <alignment horizontal="left" vertical="center" wrapText="1"/>
    </xf>
    <xf numFmtId="3" fontId="11" fillId="7" borderId="30" xfId="0" applyNumberFormat="1" applyFont="1" applyFill="1" applyBorder="1" applyAlignment="1">
      <alignment horizontal="center" vertical="center" wrapText="1"/>
    </xf>
    <xf numFmtId="0" fontId="11" fillId="7" borderId="30" xfId="0" applyFont="1" applyFill="1" applyBorder="1" applyAlignment="1">
      <alignment horizontal="center" vertical="center" wrapText="1"/>
    </xf>
    <xf numFmtId="2" fontId="11" fillId="12" borderId="30" xfId="0" applyNumberFormat="1" applyFont="1" applyFill="1" applyBorder="1" applyAlignment="1">
      <alignment horizontal="center" vertical="center" wrapText="1"/>
    </xf>
    <xf numFmtId="9" fontId="6" fillId="7" borderId="30" xfId="2" applyFont="1" applyFill="1" applyBorder="1" applyAlignment="1">
      <alignment horizontal="center" vertical="center"/>
    </xf>
    <xf numFmtId="2" fontId="0" fillId="7" borderId="30" xfId="0" applyNumberFormat="1" applyFill="1" applyBorder="1" applyAlignment="1">
      <alignment horizontal="center" vertical="center"/>
    </xf>
    <xf numFmtId="9" fontId="0" fillId="7" borderId="30" xfId="2" applyFont="1" applyFill="1" applyBorder="1" applyAlignment="1">
      <alignment horizontal="center" vertical="center"/>
    </xf>
    <xf numFmtId="166" fontId="6" fillId="7" borderId="9" xfId="0" applyNumberFormat="1" applyFont="1" applyFill="1" applyBorder="1" applyAlignment="1">
      <alignment horizontal="center" vertical="center"/>
    </xf>
    <xf numFmtId="0" fontId="11" fillId="12" borderId="30" xfId="0" applyFont="1" applyFill="1" applyBorder="1" applyAlignment="1">
      <alignment horizontal="center" vertical="center" wrapText="1"/>
    </xf>
    <xf numFmtId="166" fontId="0" fillId="7" borderId="9" xfId="0" applyNumberFormat="1" applyFill="1" applyBorder="1" applyAlignment="1">
      <alignment horizontal="center" vertical="center"/>
    </xf>
    <xf numFmtId="0" fontId="0" fillId="7" borderId="30" xfId="0" applyFill="1" applyBorder="1" applyAlignment="1">
      <alignment horizontal="center" vertical="center"/>
    </xf>
    <xf numFmtId="0" fontId="0" fillId="0" borderId="30" xfId="0" applyBorder="1" applyAlignment="1">
      <alignment vertical="center"/>
    </xf>
    <xf numFmtId="171" fontId="9" fillId="0" borderId="30" xfId="0" applyNumberFormat="1" applyFont="1" applyBorder="1" applyAlignment="1">
      <alignment horizontal="center"/>
    </xf>
    <xf numFmtId="2" fontId="9" fillId="0" borderId="30" xfId="0" applyNumberFormat="1" applyFont="1" applyBorder="1" applyAlignment="1">
      <alignment horizontal="center"/>
    </xf>
    <xf numFmtId="0" fontId="9" fillId="0" borderId="10" xfId="0" applyFont="1" applyBorder="1"/>
    <xf numFmtId="2" fontId="9" fillId="0" borderId="11" xfId="0" applyNumberFormat="1" applyFont="1" applyBorder="1" applyAlignment="1">
      <alignment horizontal="center"/>
    </xf>
    <xf numFmtId="0" fontId="9" fillId="0" borderId="12" xfId="0" applyFont="1" applyBorder="1" applyAlignment="1">
      <alignment horizontal="center"/>
    </xf>
    <xf numFmtId="0" fontId="40" fillId="0" borderId="0" xfId="0" applyFont="1"/>
    <xf numFmtId="0" fontId="22" fillId="4" borderId="18" xfId="0" applyFont="1" applyFill="1" applyBorder="1"/>
    <xf numFmtId="0" fontId="22" fillId="3" borderId="18" xfId="0" applyFont="1" applyFill="1" applyBorder="1"/>
    <xf numFmtId="0" fontId="22" fillId="10" borderId="18" xfId="0" applyFont="1" applyFill="1" applyBorder="1"/>
    <xf numFmtId="0" fontId="22" fillId="2" borderId="25" xfId="0" applyFont="1" applyFill="1" applyBorder="1"/>
    <xf numFmtId="0" fontId="41" fillId="0" borderId="0" xfId="0" applyFont="1" applyAlignment="1">
      <alignment horizontal="justify" vertical="center"/>
    </xf>
    <xf numFmtId="0" fontId="43" fillId="0" borderId="0" xfId="0" applyFont="1" applyAlignment="1">
      <alignment vertical="center"/>
    </xf>
    <xf numFmtId="0" fontId="42" fillId="9" borderId="18" xfId="0" applyFont="1" applyFill="1" applyBorder="1" applyAlignment="1">
      <alignment horizontal="center" vertical="center"/>
    </xf>
    <xf numFmtId="0" fontId="42" fillId="9" borderId="18" xfId="0" applyFont="1" applyFill="1" applyBorder="1" applyAlignment="1">
      <alignment horizontal="center" vertical="center" wrapText="1"/>
    </xf>
    <xf numFmtId="0" fontId="44" fillId="0" borderId="18" xfId="0" applyFont="1" applyBorder="1" applyAlignment="1">
      <alignment horizontal="center" vertical="center" wrapText="1"/>
    </xf>
    <xf numFmtId="0" fontId="45" fillId="0" borderId="18" xfId="3" applyFont="1" applyBorder="1" applyAlignment="1">
      <alignment horizontal="center" vertical="center"/>
    </xf>
    <xf numFmtId="0" fontId="0" fillId="0" borderId="46" xfId="0" applyBorder="1"/>
    <xf numFmtId="0" fontId="0" fillId="0" borderId="47" xfId="0" applyBorder="1"/>
    <xf numFmtId="0" fontId="0" fillId="0" borderId="48" xfId="0" applyBorder="1"/>
    <xf numFmtId="0" fontId="46" fillId="7" borderId="18" xfId="0" applyFont="1" applyFill="1" applyBorder="1" applyAlignment="1">
      <alignment horizontal="center" vertical="center"/>
    </xf>
    <xf numFmtId="0" fontId="25" fillId="0" borderId="40" xfId="0" applyFont="1" applyBorder="1" applyAlignment="1">
      <alignment horizontal="justify" vertical="center"/>
    </xf>
    <xf numFmtId="0" fontId="25" fillId="0" borderId="45" xfId="0" applyFont="1" applyBorder="1" applyAlignment="1">
      <alignment horizontal="justify" vertical="center"/>
    </xf>
    <xf numFmtId="0" fontId="25" fillId="0" borderId="39" xfId="0" applyFont="1" applyBorder="1" applyAlignment="1">
      <alignment horizontal="justify" vertical="center"/>
    </xf>
    <xf numFmtId="0" fontId="0" fillId="7" borderId="30" xfId="0" applyFill="1" applyBorder="1"/>
    <xf numFmtId="164" fontId="0" fillId="7" borderId="9" xfId="1" applyNumberFormat="1" applyFont="1" applyFill="1" applyBorder="1"/>
    <xf numFmtId="164" fontId="0" fillId="7" borderId="11" xfId="1" applyNumberFormat="1" applyFont="1" applyFill="1" applyBorder="1"/>
    <xf numFmtId="164" fontId="5" fillId="0" borderId="7" xfId="1" applyNumberFormat="1" applyFont="1" applyFill="1" applyBorder="1"/>
    <xf numFmtId="0" fontId="0" fillId="7" borderId="9" xfId="0" applyFill="1" applyBorder="1"/>
    <xf numFmtId="0" fontId="0" fillId="7" borderId="11" xfId="0" applyFill="1" applyBorder="1"/>
    <xf numFmtId="0" fontId="0" fillId="7" borderId="12" xfId="0" applyFill="1" applyBorder="1"/>
    <xf numFmtId="1" fontId="0" fillId="0" borderId="11" xfId="0" applyNumberFormat="1" applyBorder="1" applyAlignment="1">
      <alignment horizontal="center" wrapText="1"/>
    </xf>
    <xf numFmtId="0" fontId="0" fillId="0" borderId="18" xfId="0" applyBorder="1"/>
    <xf numFmtId="0" fontId="30" fillId="0" borderId="18" xfId="0" applyFont="1" applyBorder="1" applyAlignment="1">
      <alignment horizontal="center" vertical="center" wrapText="1"/>
    </xf>
    <xf numFmtId="0" fontId="18" fillId="0" borderId="18" xfId="0" applyFont="1" applyBorder="1"/>
    <xf numFmtId="0" fontId="18" fillId="0" borderId="18" xfId="0" applyFont="1" applyBorder="1" applyAlignment="1">
      <alignment horizontal="center"/>
    </xf>
    <xf numFmtId="2" fontId="0" fillId="0" borderId="3" xfId="0" applyNumberFormat="1" applyBorder="1" applyAlignment="1">
      <alignment horizontal="center" vertical="center" wrapText="1"/>
    </xf>
    <xf numFmtId="172" fontId="0" fillId="13" borderId="30" xfId="0" applyNumberFormat="1" applyFill="1" applyBorder="1" applyAlignment="1">
      <alignment horizontal="center" vertical="center" wrapText="1"/>
    </xf>
    <xf numFmtId="172" fontId="0" fillId="13" borderId="9" xfId="0" applyNumberFormat="1" applyFill="1" applyBorder="1" applyAlignment="1">
      <alignment horizontal="center" vertical="center" wrapText="1"/>
    </xf>
    <xf numFmtId="2" fontId="0" fillId="0" borderId="24" xfId="0" applyNumberFormat="1" applyBorder="1" applyAlignment="1">
      <alignment vertical="center" wrapText="1"/>
    </xf>
    <xf numFmtId="2" fontId="0" fillId="0" borderId="27" xfId="0" applyNumberFormat="1" applyBorder="1" applyAlignment="1">
      <alignment vertical="center" wrapText="1"/>
    </xf>
    <xf numFmtId="2" fontId="30" fillId="0" borderId="27" xfId="0" applyNumberFormat="1" applyFont="1" applyBorder="1" applyAlignment="1">
      <alignment horizontal="center" vertical="center" wrapText="1"/>
    </xf>
    <xf numFmtId="2" fontId="30" fillId="0" borderId="26" xfId="0" applyNumberFormat="1" applyFont="1" applyBorder="1" applyAlignment="1">
      <alignment horizontal="center" vertical="center" wrapText="1"/>
    </xf>
    <xf numFmtId="2" fontId="8" fillId="0" borderId="29" xfId="0" applyNumberFormat="1" applyFont="1" applyBorder="1" applyAlignment="1">
      <alignment horizontal="left" vertical="center" wrapText="1"/>
    </xf>
    <xf numFmtId="2" fontId="8" fillId="0" borderId="35" xfId="0" applyNumberFormat="1" applyFont="1" applyBorder="1" applyAlignment="1">
      <alignment horizontal="center" vertical="center" wrapText="1"/>
    </xf>
    <xf numFmtId="2" fontId="0" fillId="0" borderId="13" xfId="0" applyNumberFormat="1" applyBorder="1" applyAlignment="1">
      <alignment horizontal="left" vertical="center" wrapText="1"/>
    </xf>
    <xf numFmtId="2" fontId="0" fillId="0" borderId="3" xfId="0" applyNumberFormat="1" applyBorder="1" applyAlignment="1">
      <alignment vertical="center" wrapText="1"/>
    </xf>
    <xf numFmtId="2" fontId="0" fillId="0" borderId="8" xfId="0" applyNumberFormat="1" applyBorder="1" applyAlignment="1">
      <alignment horizontal="left" vertical="center" wrapText="1"/>
    </xf>
    <xf numFmtId="2" fontId="0" fillId="0" borderId="30" xfId="0" applyNumberFormat="1" applyBorder="1" applyAlignment="1">
      <alignment horizontal="center" vertical="center" wrapText="1"/>
    </xf>
    <xf numFmtId="2" fontId="0" fillId="0" borderId="30" xfId="0" applyNumberFormat="1" applyBorder="1" applyAlignment="1">
      <alignment horizontal="center" wrapText="1"/>
    </xf>
    <xf numFmtId="2" fontId="0" fillId="13" borderId="30" xfId="0" applyNumberFormat="1" applyFill="1" applyBorder="1" applyAlignment="1">
      <alignment horizontal="center" vertical="center" wrapText="1"/>
    </xf>
    <xf numFmtId="2" fontId="0" fillId="13" borderId="9" xfId="0" applyNumberFormat="1" applyFill="1" applyBorder="1" applyAlignment="1">
      <alignment horizontal="center" vertical="center" wrapText="1"/>
    </xf>
    <xf numFmtId="2" fontId="0" fillId="13" borderId="30" xfId="0" applyNumberFormat="1" applyFill="1" applyBorder="1" applyAlignment="1">
      <alignment horizontal="center" wrapText="1"/>
    </xf>
    <xf numFmtId="2" fontId="0" fillId="13" borderId="9" xfId="0" applyNumberFormat="1" applyFill="1" applyBorder="1" applyAlignment="1">
      <alignment horizontal="center" wrapText="1"/>
    </xf>
    <xf numFmtId="2" fontId="0" fillId="0" borderId="10" xfId="0" applyNumberFormat="1" applyBorder="1" applyAlignment="1">
      <alignment horizontal="left" vertical="center" wrapText="1"/>
    </xf>
    <xf numFmtId="2" fontId="0" fillId="0" borderId="11" xfId="0" applyNumberFormat="1" applyBorder="1" applyAlignment="1">
      <alignment horizontal="center" wrapText="1"/>
    </xf>
    <xf numFmtId="2" fontId="0" fillId="13" borderId="11" xfId="0" applyNumberFormat="1" applyFill="1" applyBorder="1" applyAlignment="1">
      <alignment horizontal="center" wrapText="1"/>
    </xf>
    <xf numFmtId="2" fontId="0" fillId="13" borderId="12" xfId="0" applyNumberFormat="1" applyFill="1" applyBorder="1" applyAlignment="1">
      <alignment horizontal="center" wrapText="1"/>
    </xf>
    <xf numFmtId="1" fontId="18" fillId="0" borderId="35" xfId="0" applyNumberFormat="1" applyFont="1" applyBorder="1" applyAlignment="1">
      <alignment horizontal="center" vertical="center" wrapText="1"/>
    </xf>
    <xf numFmtId="1" fontId="18" fillId="0" borderId="17" xfId="0" applyNumberFormat="1" applyFont="1" applyBorder="1" applyAlignment="1">
      <alignment horizontal="center" vertical="center" wrapText="1"/>
    </xf>
    <xf numFmtId="43" fontId="5" fillId="0" borderId="30" xfId="1" applyFont="1" applyBorder="1"/>
    <xf numFmtId="0" fontId="4" fillId="0" borderId="9" xfId="0" applyFont="1" applyBorder="1" applyAlignment="1">
      <alignment horizontal="left" vertical="center" wrapText="1"/>
    </xf>
    <xf numFmtId="0" fontId="3" fillId="0" borderId="0" xfId="5"/>
    <xf numFmtId="0" fontId="49" fillId="0" borderId="0" xfId="5" applyFont="1" applyAlignment="1">
      <alignment vertical="top" wrapText="1"/>
    </xf>
    <xf numFmtId="0" fontId="50" fillId="0" borderId="0" xfId="5" applyFont="1" applyAlignment="1">
      <alignment horizontal="left" vertical="top" wrapText="1"/>
    </xf>
    <xf numFmtId="0" fontId="49" fillId="0" borderId="0" xfId="5" applyFont="1" applyAlignment="1">
      <alignment horizontal="left" vertical="top" wrapText="1"/>
    </xf>
    <xf numFmtId="0" fontId="3" fillId="0" borderId="55" xfId="5" applyBorder="1"/>
    <xf numFmtId="0" fontId="3" fillId="0" borderId="56" xfId="5" applyBorder="1"/>
    <xf numFmtId="0" fontId="3" fillId="0" borderId="58" xfId="5" applyBorder="1"/>
    <xf numFmtId="0" fontId="3" fillId="0" borderId="59" xfId="5" applyBorder="1"/>
    <xf numFmtId="0" fontId="50" fillId="0" borderId="59" xfId="5" applyFont="1" applyBorder="1" applyAlignment="1">
      <alignment horizontal="left" vertical="top" wrapText="1"/>
    </xf>
    <xf numFmtId="0" fontId="49" fillId="0" borderId="59" xfId="5" applyFont="1" applyBorder="1" applyAlignment="1">
      <alignment horizontal="left" vertical="top" wrapText="1"/>
    </xf>
    <xf numFmtId="0" fontId="49" fillId="0" borderId="58" xfId="5" applyFont="1" applyBorder="1" applyAlignment="1">
      <alignment horizontal="left" vertical="top" wrapText="1"/>
    </xf>
    <xf numFmtId="0" fontId="49" fillId="0" borderId="69" xfId="5" applyFont="1" applyBorder="1" applyAlignment="1">
      <alignment horizontal="center" vertical="top" wrapText="1"/>
    </xf>
    <xf numFmtId="0" fontId="3" fillId="0" borderId="69" xfId="5" applyBorder="1"/>
    <xf numFmtId="0" fontId="3" fillId="0" borderId="72" xfId="5" applyBorder="1"/>
    <xf numFmtId="0" fontId="6" fillId="0" borderId="73" xfId="0" applyFont="1" applyBorder="1" applyAlignment="1">
      <alignment horizontal="right"/>
    </xf>
    <xf numFmtId="170" fontId="5" fillId="7" borderId="30" xfId="1" applyNumberFormat="1" applyFont="1" applyFill="1" applyBorder="1"/>
    <xf numFmtId="0" fontId="3" fillId="9" borderId="13" xfId="0" applyFont="1" applyFill="1" applyBorder="1" applyAlignment="1">
      <alignment wrapText="1"/>
    </xf>
    <xf numFmtId="0" fontId="3" fillId="0" borderId="3" xfId="0" applyFont="1" applyBorder="1" applyAlignment="1">
      <alignment horizontal="center" wrapText="1"/>
    </xf>
    <xf numFmtId="164" fontId="3" fillId="0" borderId="3" xfId="1" applyNumberFormat="1" applyFont="1" applyBorder="1" applyAlignment="1">
      <alignment wrapText="1"/>
    </xf>
    <xf numFmtId="0" fontId="3" fillId="9" borderId="8" xfId="0" applyFont="1" applyFill="1" applyBorder="1" applyAlignment="1">
      <alignment wrapText="1"/>
    </xf>
    <xf numFmtId="0" fontId="3" fillId="0" borderId="30" xfId="0" applyFont="1" applyBorder="1" applyAlignment="1">
      <alignment horizontal="center" wrapText="1"/>
    </xf>
    <xf numFmtId="164" fontId="3" fillId="0" borderId="30" xfId="1" applyNumberFormat="1" applyFont="1" applyBorder="1" applyAlignment="1">
      <alignment wrapText="1"/>
    </xf>
    <xf numFmtId="0" fontId="3" fillId="11" borderId="8" xfId="0" applyFont="1" applyFill="1" applyBorder="1" applyAlignment="1">
      <alignment wrapText="1"/>
    </xf>
    <xf numFmtId="1" fontId="3" fillId="0" borderId="30" xfId="0" applyNumberFormat="1" applyFont="1" applyBorder="1" applyAlignment="1">
      <alignment horizontal="center" wrapText="1"/>
    </xf>
    <xf numFmtId="164" fontId="3" fillId="18" borderId="30" xfId="1" applyNumberFormat="1" applyFont="1" applyFill="1" applyBorder="1" applyAlignment="1">
      <alignment wrapText="1"/>
    </xf>
    <xf numFmtId="164" fontId="3" fillId="0" borderId="41" xfId="1" applyNumberFormat="1" applyFont="1" applyBorder="1"/>
    <xf numFmtId="164" fontId="3" fillId="0" borderId="30" xfId="1" applyNumberFormat="1" applyFont="1" applyBorder="1" applyAlignment="1">
      <alignment horizontal="center" wrapText="1"/>
    </xf>
    <xf numFmtId="0" fontId="3" fillId="19" borderId="8" xfId="0" applyFont="1" applyFill="1" applyBorder="1" applyAlignment="1">
      <alignment wrapText="1"/>
    </xf>
    <xf numFmtId="0" fontId="3" fillId="9" borderId="32" xfId="0" applyFont="1" applyFill="1" applyBorder="1" applyAlignment="1">
      <alignment wrapText="1"/>
    </xf>
    <xf numFmtId="1" fontId="3" fillId="0" borderId="31" xfId="0" applyNumberFormat="1" applyFont="1" applyBorder="1" applyAlignment="1">
      <alignment horizontal="center" wrapText="1"/>
    </xf>
    <xf numFmtId="0" fontId="3" fillId="0" borderId="31" xfId="0" applyFont="1" applyBorder="1" applyAlignment="1">
      <alignment wrapText="1"/>
    </xf>
    <xf numFmtId="0" fontId="7" fillId="0" borderId="34" xfId="0" applyFont="1" applyBorder="1" applyAlignment="1">
      <alignment wrapText="1"/>
    </xf>
    <xf numFmtId="1" fontId="7" fillId="0" borderId="38" xfId="1" applyNumberFormat="1" applyFont="1" applyBorder="1" applyAlignment="1">
      <alignment horizontal="center" wrapText="1"/>
    </xf>
    <xf numFmtId="0" fontId="3" fillId="0" borderId="36" xfId="0" applyFont="1" applyBorder="1" applyAlignment="1">
      <alignment wrapText="1"/>
    </xf>
    <xf numFmtId="0" fontId="7" fillId="0" borderId="13" xfId="0" applyFont="1" applyBorder="1" applyAlignment="1">
      <alignment horizontal="left" wrapText="1"/>
    </xf>
    <xf numFmtId="0" fontId="3" fillId="0" borderId="0" xfId="0" applyFont="1"/>
    <xf numFmtId="3" fontId="7" fillId="0" borderId="30" xfId="0" applyNumberFormat="1" applyFont="1" applyBorder="1" applyAlignment="1">
      <alignment horizontal="center" wrapText="1"/>
    </xf>
    <xf numFmtId="0" fontId="7" fillId="0" borderId="10" xfId="0" applyFont="1" applyBorder="1" applyAlignment="1">
      <alignment vertical="center"/>
    </xf>
    <xf numFmtId="0" fontId="3" fillId="0" borderId="11" xfId="0" applyFont="1" applyBorder="1" applyAlignment="1">
      <alignment wrapText="1"/>
    </xf>
    <xf numFmtId="6" fontId="7" fillId="0" borderId="11" xfId="0" applyNumberFormat="1" applyFont="1" applyBorder="1" applyAlignment="1">
      <alignment horizontal="center" wrapText="1"/>
    </xf>
    <xf numFmtId="0" fontId="3" fillId="11" borderId="6" xfId="0" applyFont="1" applyFill="1" applyBorder="1" applyAlignment="1">
      <alignment wrapText="1"/>
    </xf>
    <xf numFmtId="0" fontId="3" fillId="0" borderId="37" xfId="0" applyFont="1" applyBorder="1" applyAlignment="1">
      <alignment wrapText="1"/>
    </xf>
    <xf numFmtId="0" fontId="3" fillId="0" borderId="30" xfId="0" applyFont="1" applyBorder="1" applyAlignment="1">
      <alignment wrapText="1"/>
    </xf>
    <xf numFmtId="0" fontId="23" fillId="5" borderId="10" xfId="0" applyFont="1" applyFill="1" applyBorder="1" applyAlignment="1">
      <alignment wrapText="1"/>
    </xf>
    <xf numFmtId="0" fontId="6" fillId="8" borderId="8" xfId="0" applyFont="1" applyFill="1" applyBorder="1" applyAlignment="1">
      <alignment horizontal="left" wrapText="1"/>
    </xf>
    <xf numFmtId="0" fontId="0" fillId="9" borderId="24" xfId="0" applyFill="1" applyBorder="1"/>
    <xf numFmtId="0" fontId="0" fillId="9" borderId="27" xfId="0" applyFill="1" applyBorder="1"/>
    <xf numFmtId="43" fontId="5" fillId="0" borderId="37" xfId="1" applyFont="1" applyFill="1" applyBorder="1"/>
    <xf numFmtId="43" fontId="0" fillId="0" borderId="37" xfId="1" applyFont="1" applyFill="1" applyBorder="1"/>
    <xf numFmtId="43" fontId="0" fillId="0" borderId="37" xfId="1" applyFont="1" applyBorder="1"/>
    <xf numFmtId="43" fontId="5" fillId="0" borderId="30" xfId="1" applyFont="1" applyFill="1" applyBorder="1"/>
    <xf numFmtId="43" fontId="5" fillId="7" borderId="30" xfId="1" applyFont="1" applyFill="1" applyBorder="1"/>
    <xf numFmtId="43" fontId="5" fillId="7" borderId="9" xfId="1" applyFont="1" applyFill="1" applyBorder="1"/>
    <xf numFmtId="3" fontId="5" fillId="0" borderId="30" xfId="1" applyNumberFormat="1" applyFont="1" applyBorder="1"/>
    <xf numFmtId="3" fontId="5" fillId="0" borderId="30" xfId="1" applyNumberFormat="1" applyFont="1" applyBorder="1" applyAlignment="1">
      <alignment horizontal="right"/>
    </xf>
    <xf numFmtId="3" fontId="5" fillId="0" borderId="9" xfId="1" applyNumberFormat="1" applyFont="1" applyBorder="1" applyAlignment="1">
      <alignment horizontal="right" wrapText="1"/>
    </xf>
    <xf numFmtId="4" fontId="5" fillId="0" borderId="30" xfId="1" applyNumberFormat="1" applyFont="1" applyFill="1" applyBorder="1"/>
    <xf numFmtId="4" fontId="5" fillId="0" borderId="30" xfId="1" applyNumberFormat="1" applyFont="1" applyBorder="1"/>
    <xf numFmtId="4" fontId="5" fillId="0" borderId="37" xfId="1" applyNumberFormat="1" applyFont="1" applyFill="1" applyBorder="1"/>
    <xf numFmtId="164" fontId="0" fillId="0" borderId="37" xfId="1" applyNumberFormat="1" applyFont="1" applyBorder="1" applyAlignment="1">
      <alignment horizontal="left" wrapText="1"/>
    </xf>
    <xf numFmtId="164" fontId="0" fillId="0" borderId="30" xfId="1" applyNumberFormat="1" applyFont="1" applyFill="1" applyBorder="1" applyAlignment="1">
      <alignment horizontal="left" wrapText="1"/>
    </xf>
    <xf numFmtId="164" fontId="5" fillId="0" borderId="30" xfId="1" applyNumberFormat="1" applyFont="1" applyFill="1" applyBorder="1" applyAlignment="1">
      <alignment horizontal="left" wrapText="1"/>
    </xf>
    <xf numFmtId="0" fontId="0" fillId="0" borderId="44" xfId="0" applyBorder="1"/>
    <xf numFmtId="0" fontId="18" fillId="0" borderId="20" xfId="0" applyFont="1" applyBorder="1" applyAlignment="1">
      <alignment horizontal="center" vertical="center"/>
    </xf>
    <xf numFmtId="164" fontId="8" fillId="0" borderId="37" xfId="1" applyNumberFormat="1" applyFont="1" applyBorder="1"/>
    <xf numFmtId="164" fontId="8" fillId="0" borderId="7" xfId="1" applyNumberFormat="1" applyFont="1" applyBorder="1"/>
    <xf numFmtId="3" fontId="0" fillId="0" borderId="14" xfId="0" applyNumberFormat="1" applyBorder="1"/>
    <xf numFmtId="3" fontId="0" fillId="0" borderId="9" xfId="0" applyNumberFormat="1" applyBorder="1"/>
    <xf numFmtId="3" fontId="0" fillId="0" borderId="33" xfId="0" applyNumberFormat="1" applyBorder="1"/>
    <xf numFmtId="0" fontId="18" fillId="0" borderId="26" xfId="0" applyFont="1" applyBorder="1" applyAlignment="1">
      <alignment horizontal="center" vertical="center"/>
    </xf>
    <xf numFmtId="0" fontId="35" fillId="0" borderId="20" xfId="0" applyFont="1" applyBorder="1" applyAlignment="1">
      <alignment horizontal="center" vertical="center" wrapText="1"/>
    </xf>
    <xf numFmtId="0" fontId="18" fillId="0" borderId="74" xfId="0" applyFont="1" applyBorder="1" applyAlignment="1">
      <alignment horizontal="center" vertical="center" wrapText="1"/>
    </xf>
    <xf numFmtId="1" fontId="0" fillId="0" borderId="75" xfId="0" applyNumberFormat="1" applyBorder="1" applyAlignment="1">
      <alignment horizontal="center" wrapText="1"/>
    </xf>
    <xf numFmtId="1" fontId="0" fillId="0" borderId="76" xfId="0" applyNumberFormat="1" applyBorder="1" applyAlignment="1">
      <alignment horizontal="center" vertical="center" wrapText="1"/>
    </xf>
    <xf numFmtId="1" fontId="0" fillId="0" borderId="76" xfId="0" applyNumberFormat="1" applyBorder="1" applyAlignment="1">
      <alignment horizontal="center" wrapText="1"/>
    </xf>
    <xf numFmtId="1" fontId="0" fillId="13" borderId="76" xfId="0" applyNumberFormat="1" applyFill="1" applyBorder="1" applyAlignment="1">
      <alignment horizontal="center" vertical="center" wrapText="1"/>
    </xf>
    <xf numFmtId="1" fontId="0" fillId="0" borderId="77" xfId="0" applyNumberFormat="1" applyBorder="1" applyAlignment="1">
      <alignment horizontal="center" wrapText="1"/>
    </xf>
    <xf numFmtId="1" fontId="7" fillId="0" borderId="76" xfId="0" applyNumberFormat="1" applyFont="1" applyBorder="1" applyAlignment="1">
      <alignment horizontal="center" vertical="center" wrapText="1"/>
    </xf>
    <xf numFmtId="1" fontId="32" fillId="0" borderId="79" xfId="0" applyNumberFormat="1" applyFont="1" applyBorder="1" applyAlignment="1">
      <alignment horizontal="center" vertical="center" wrapText="1"/>
    </xf>
    <xf numFmtId="0" fontId="35" fillId="0" borderId="27" xfId="0" applyFont="1" applyBorder="1" applyAlignment="1">
      <alignment horizontal="center" vertical="center" wrapText="1"/>
    </xf>
    <xf numFmtId="164" fontId="5" fillId="7" borderId="76" xfId="1" applyNumberFormat="1" applyFont="1" applyFill="1" applyBorder="1"/>
    <xf numFmtId="164" fontId="5" fillId="0" borderId="37" xfId="1" applyNumberFormat="1" applyFont="1" applyBorder="1" applyAlignment="1">
      <alignment horizontal="left" wrapText="1"/>
    </xf>
    <xf numFmtId="0" fontId="30" fillId="0" borderId="20" xfId="0" applyFont="1" applyBorder="1" applyAlignment="1">
      <alignment horizontal="center" vertical="center" wrapText="1"/>
    </xf>
    <xf numFmtId="164" fontId="0" fillId="7" borderId="76" xfId="1" applyNumberFormat="1" applyFont="1" applyFill="1" applyBorder="1"/>
    <xf numFmtId="0" fontId="18" fillId="0" borderId="20" xfId="0" applyFont="1" applyBorder="1" applyAlignment="1">
      <alignment horizontal="center"/>
    </xf>
    <xf numFmtId="164" fontId="0" fillId="0" borderId="78" xfId="1" applyNumberFormat="1" applyFont="1" applyFill="1" applyBorder="1"/>
    <xf numFmtId="164" fontId="5" fillId="0" borderId="76" xfId="1" applyNumberFormat="1" applyFont="1" applyFill="1" applyBorder="1"/>
    <xf numFmtId="164" fontId="0" fillId="7" borderId="79" xfId="1" applyNumberFormat="1" applyFont="1" applyFill="1" applyBorder="1"/>
    <xf numFmtId="170" fontId="5" fillId="7" borderId="4" xfId="1" applyNumberFormat="1" applyFont="1" applyFill="1" applyBorder="1"/>
    <xf numFmtId="0" fontId="30" fillId="0" borderId="23" xfId="0" applyFont="1" applyBorder="1" applyAlignment="1">
      <alignment horizontal="center" vertical="center" wrapText="1"/>
    </xf>
    <xf numFmtId="0" fontId="18" fillId="0" borderId="80" xfId="0" applyFont="1" applyBorder="1" applyAlignment="1">
      <alignment horizontal="center"/>
    </xf>
    <xf numFmtId="0" fontId="8" fillId="0" borderId="35" xfId="0" applyFont="1" applyBorder="1" applyAlignment="1">
      <alignment horizontal="center" wrapText="1"/>
    </xf>
    <xf numFmtId="0" fontId="8" fillId="0" borderId="17" xfId="0" applyFont="1" applyBorder="1" applyAlignment="1">
      <alignment horizontal="center" wrapText="1"/>
    </xf>
    <xf numFmtId="0" fontId="8" fillId="0" borderId="18" xfId="0" applyFont="1" applyBorder="1" applyAlignment="1">
      <alignment horizontal="center" wrapText="1"/>
    </xf>
    <xf numFmtId="2" fontId="0" fillId="0" borderId="14" xfId="0" applyNumberFormat="1" applyBorder="1" applyAlignment="1">
      <alignment horizontal="center" vertical="center" wrapText="1"/>
    </xf>
    <xf numFmtId="2" fontId="0" fillId="0" borderId="35" xfId="0" applyNumberFormat="1" applyBorder="1" applyAlignment="1">
      <alignment horizontal="center" vertical="center" wrapText="1"/>
    </xf>
    <xf numFmtId="2" fontId="0" fillId="0" borderId="17" xfId="0" applyNumberFormat="1" applyBorder="1" applyAlignment="1">
      <alignment horizontal="center" vertical="center" wrapText="1"/>
    </xf>
    <xf numFmtId="0" fontId="8" fillId="0" borderId="29" xfId="0" applyFont="1" applyBorder="1" applyAlignment="1">
      <alignment horizontal="right"/>
    </xf>
    <xf numFmtId="164" fontId="19" fillId="0" borderId="35" xfId="1" applyNumberFormat="1" applyFont="1" applyBorder="1"/>
    <xf numFmtId="164" fontId="8" fillId="0" borderId="35" xfId="1" applyNumberFormat="1" applyFont="1" applyBorder="1"/>
    <xf numFmtId="164" fontId="8" fillId="0" borderId="17" xfId="1" applyNumberFormat="1" applyFont="1" applyBorder="1"/>
    <xf numFmtId="1" fontId="0" fillId="0" borderId="14" xfId="0" applyNumberFormat="1" applyBorder="1" applyAlignment="1">
      <alignment horizontal="center" vertical="center" wrapText="1"/>
    </xf>
    <xf numFmtId="164" fontId="5" fillId="0" borderId="44" xfId="1" applyNumberFormat="1" applyFont="1" applyFill="1" applyBorder="1"/>
    <xf numFmtId="164" fontId="5" fillId="7" borderId="12" xfId="1" applyNumberFormat="1" applyFont="1" applyFill="1" applyBorder="1"/>
    <xf numFmtId="164" fontId="5" fillId="0" borderId="27" xfId="1" applyNumberFormat="1" applyFont="1" applyFill="1" applyBorder="1"/>
    <xf numFmtId="164" fontId="5" fillId="0" borderId="26" xfId="1" applyNumberFormat="1" applyFont="1" applyFill="1" applyBorder="1"/>
    <xf numFmtId="168" fontId="15" fillId="0" borderId="9" xfId="0" applyNumberFormat="1" applyFont="1" applyBorder="1"/>
    <xf numFmtId="0" fontId="0" fillId="7" borderId="0" xfId="0" applyFill="1"/>
    <xf numFmtId="164" fontId="3" fillId="0" borderId="75" xfId="1" applyNumberFormat="1" applyFont="1" applyBorder="1" applyAlignment="1">
      <alignment wrapText="1"/>
    </xf>
    <xf numFmtId="164" fontId="3" fillId="0" borderId="76" xfId="1" applyNumberFormat="1" applyFont="1" applyBorder="1" applyAlignment="1">
      <alignment wrapText="1"/>
    </xf>
    <xf numFmtId="164" fontId="3" fillId="0" borderId="76" xfId="1" applyNumberFormat="1" applyFont="1" applyBorder="1" applyAlignment="1">
      <alignment horizontal="center" wrapText="1"/>
    </xf>
    <xf numFmtId="0" fontId="3" fillId="0" borderId="77" xfId="0" applyFont="1" applyBorder="1" applyAlignment="1">
      <alignment wrapText="1"/>
    </xf>
    <xf numFmtId="0" fontId="3" fillId="0" borderId="50" xfId="0" applyFont="1" applyBorder="1" applyAlignment="1">
      <alignment wrapText="1"/>
    </xf>
    <xf numFmtId="0" fontId="3" fillId="0" borderId="78" xfId="0" applyFont="1" applyBorder="1" applyAlignment="1">
      <alignment wrapText="1"/>
    </xf>
    <xf numFmtId="0" fontId="3" fillId="0" borderId="76" xfId="0" applyFont="1" applyBorder="1" applyAlignment="1">
      <alignment wrapText="1"/>
    </xf>
    <xf numFmtId="0" fontId="3" fillId="0" borderId="79" xfId="0" applyFont="1" applyBorder="1" applyAlignment="1">
      <alignment wrapText="1"/>
    </xf>
    <xf numFmtId="164" fontId="3" fillId="0" borderId="37" xfId="1" applyNumberFormat="1" applyFont="1" applyBorder="1" applyAlignment="1">
      <alignment wrapText="1"/>
    </xf>
    <xf numFmtId="164" fontId="3" fillId="0" borderId="15" xfId="1" applyNumberFormat="1" applyFont="1" applyBorder="1"/>
    <xf numFmtId="0" fontId="0" fillId="0" borderId="8" xfId="0" applyBorder="1" applyAlignment="1">
      <alignment horizontal="left" wrapText="1"/>
    </xf>
    <xf numFmtId="0" fontId="0" fillId="0" borderId="0" xfId="0" applyAlignment="1">
      <alignment horizontal="center" wrapText="1"/>
    </xf>
    <xf numFmtId="3" fontId="2" fillId="0" borderId="9" xfId="0" applyNumberFormat="1" applyFont="1" applyBorder="1"/>
    <xf numFmtId="3" fontId="7" fillId="0" borderId="9" xfId="0" applyNumberFormat="1" applyFont="1" applyBorder="1" applyAlignment="1">
      <alignment horizontal="center" wrapText="1"/>
    </xf>
    <xf numFmtId="6" fontId="7" fillId="0" borderId="12" xfId="0" applyNumberFormat="1" applyFont="1" applyBorder="1" applyAlignment="1">
      <alignment horizontal="center" wrapText="1"/>
    </xf>
    <xf numFmtId="1" fontId="6" fillId="11" borderId="9" xfId="0" applyNumberFormat="1" applyFont="1" applyFill="1" applyBorder="1"/>
    <xf numFmtId="0" fontId="0" fillId="0" borderId="81" xfId="0" applyBorder="1"/>
    <xf numFmtId="0" fontId="18" fillId="0" borderId="5" xfId="0" applyFont="1" applyBorder="1" applyAlignment="1">
      <alignment horizontal="center" vertical="center"/>
    </xf>
    <xf numFmtId="0" fontId="0" fillId="0" borderId="82" xfId="0" applyBorder="1" applyAlignment="1">
      <alignment vertical="center"/>
    </xf>
    <xf numFmtId="164" fontId="5" fillId="7" borderId="7" xfId="1" applyNumberFormat="1" applyFont="1" applyFill="1" applyBorder="1"/>
    <xf numFmtId="0" fontId="1" fillId="0" borderId="32" xfId="0" applyFont="1" applyBorder="1" applyAlignment="1">
      <alignment horizontal="left"/>
    </xf>
    <xf numFmtId="164" fontId="14" fillId="0" borderId="4" xfId="1" applyNumberFormat="1" applyFont="1" applyBorder="1" applyAlignment="1">
      <alignment horizontal="right"/>
    </xf>
    <xf numFmtId="3" fontId="14" fillId="0" borderId="4" xfId="0" applyNumberFormat="1" applyFont="1" applyBorder="1"/>
    <xf numFmtId="43" fontId="9" fillId="0" borderId="4" xfId="1" applyFont="1" applyBorder="1" applyAlignment="1">
      <alignment horizontal="center"/>
    </xf>
    <xf numFmtId="43" fontId="9" fillId="0" borderId="4" xfId="1" applyFont="1" applyFill="1" applyBorder="1" applyAlignment="1">
      <alignment horizontal="center"/>
    </xf>
    <xf numFmtId="170" fontId="9" fillId="0" borderId="4" xfId="1" applyNumberFormat="1" applyFont="1" applyBorder="1" applyAlignment="1">
      <alignment horizontal="center"/>
    </xf>
    <xf numFmtId="164" fontId="9" fillId="0" borderId="4" xfId="1" applyNumberFormat="1" applyFont="1" applyBorder="1"/>
    <xf numFmtId="164" fontId="9" fillId="0" borderId="4" xfId="1" applyNumberFormat="1" applyFont="1" applyFill="1" applyBorder="1"/>
    <xf numFmtId="170" fontId="6" fillId="0" borderId="4" xfId="1" applyNumberFormat="1" applyFont="1" applyFill="1" applyBorder="1"/>
    <xf numFmtId="166" fontId="6" fillId="0" borderId="4" xfId="0" applyNumberFormat="1" applyFont="1" applyBorder="1"/>
    <xf numFmtId="0" fontId="0" fillId="0" borderId="22" xfId="0" applyBorder="1"/>
    <xf numFmtId="0" fontId="7" fillId="0" borderId="83" xfId="0" applyFont="1" applyBorder="1" applyAlignment="1">
      <alignment horizontal="center"/>
    </xf>
    <xf numFmtId="43" fontId="1" fillId="0" borderId="9" xfId="1" applyFont="1" applyBorder="1" applyAlignment="1">
      <alignment horizontal="center"/>
    </xf>
    <xf numFmtId="3" fontId="11" fillId="0" borderId="84" xfId="0" applyNumberFormat="1" applyFont="1" applyBorder="1" applyAlignment="1">
      <alignment horizontal="center" wrapText="1"/>
    </xf>
    <xf numFmtId="0" fontId="0" fillId="0" borderId="43" xfId="0" applyBorder="1"/>
    <xf numFmtId="3" fontId="16" fillId="0" borderId="43" xfId="0" applyNumberFormat="1" applyFont="1" applyBorder="1" applyAlignment="1">
      <alignment horizontal="right"/>
    </xf>
    <xf numFmtId="3" fontId="11" fillId="0" borderId="43" xfId="0" applyNumberFormat="1" applyFont="1" applyBorder="1" applyAlignment="1">
      <alignment horizontal="center" wrapText="1"/>
    </xf>
    <xf numFmtId="164" fontId="0" fillId="0" borderId="43" xfId="1" applyNumberFormat="1" applyFont="1" applyFill="1" applyBorder="1"/>
    <xf numFmtId="3" fontId="16" fillId="0" borderId="9" xfId="0" applyNumberFormat="1" applyFont="1" applyBorder="1" applyAlignment="1">
      <alignment horizontal="right"/>
    </xf>
    <xf numFmtId="43" fontId="0" fillId="0" borderId="9" xfId="1" applyFont="1" applyFill="1" applyBorder="1"/>
    <xf numFmtId="3" fontId="11" fillId="0" borderId="12" xfId="0" applyNumberFormat="1" applyFont="1" applyBorder="1" applyAlignment="1">
      <alignment horizontal="center" wrapText="1"/>
    </xf>
    <xf numFmtId="3" fontId="11" fillId="0" borderId="9" xfId="0" applyNumberFormat="1" applyFont="1" applyBorder="1" applyAlignment="1">
      <alignment horizontal="right"/>
    </xf>
    <xf numFmtId="43" fontId="0" fillId="0" borderId="12" xfId="1" applyFont="1" applyFill="1" applyBorder="1"/>
    <xf numFmtId="1" fontId="25" fillId="0" borderId="0" xfId="0" applyNumberFormat="1" applyFont="1" applyAlignment="1">
      <alignment vertical="center" wrapText="1"/>
    </xf>
    <xf numFmtId="1" fontId="27" fillId="0" borderId="0" xfId="0" applyNumberFormat="1" applyFont="1" applyAlignment="1">
      <alignment horizontal="center" vertical="center" wrapText="1"/>
    </xf>
    <xf numFmtId="2" fontId="6" fillId="0" borderId="44" xfId="0" applyNumberFormat="1" applyFont="1" applyBorder="1"/>
    <xf numFmtId="2" fontId="6" fillId="0" borderId="43" xfId="0" applyNumberFormat="1" applyFont="1" applyBorder="1"/>
    <xf numFmtId="43" fontId="9" fillId="0" borderId="9" xfId="1" applyFont="1" applyBorder="1"/>
    <xf numFmtId="164" fontId="7" fillId="0" borderId="9" xfId="1" applyNumberFormat="1" applyFont="1" applyFill="1" applyBorder="1" applyAlignment="1">
      <alignment vertical="top"/>
    </xf>
    <xf numFmtId="3" fontId="31" fillId="0" borderId="30" xfId="0" applyNumberFormat="1" applyFont="1" applyBorder="1" applyAlignment="1">
      <alignment wrapText="1"/>
    </xf>
    <xf numFmtId="3" fontId="11" fillId="0" borderId="12" xfId="0" applyNumberFormat="1" applyFont="1" applyBorder="1" applyAlignment="1">
      <alignment horizontal="right" wrapText="1"/>
    </xf>
    <xf numFmtId="43" fontId="13" fillId="0" borderId="9" xfId="0" applyNumberFormat="1" applyFont="1" applyBorder="1" applyAlignment="1">
      <alignment horizontal="right"/>
    </xf>
    <xf numFmtId="164" fontId="7" fillId="0" borderId="7" xfId="1" applyNumberFormat="1" applyFont="1" applyFill="1" applyBorder="1" applyAlignment="1">
      <alignment horizontal="center" vertical="center" wrapText="1"/>
    </xf>
    <xf numFmtId="43" fontId="5" fillId="0" borderId="9" xfId="1" applyFont="1" applyFill="1" applyBorder="1"/>
    <xf numFmtId="4" fontId="5" fillId="0" borderId="9" xfId="1" applyNumberFormat="1" applyFont="1" applyFill="1" applyBorder="1"/>
    <xf numFmtId="43" fontId="0" fillId="0" borderId="30" xfId="1" applyFont="1" applyFill="1" applyBorder="1"/>
    <xf numFmtId="43" fontId="0" fillId="0" borderId="30" xfId="1" applyFont="1" applyBorder="1"/>
    <xf numFmtId="0" fontId="0" fillId="0" borderId="11" xfId="0" applyBorder="1" applyAlignment="1">
      <alignment horizontal="left" vertical="center" wrapText="1"/>
    </xf>
    <xf numFmtId="43" fontId="0" fillId="0" borderId="14" xfId="1" applyFont="1" applyFill="1" applyBorder="1"/>
    <xf numFmtId="43" fontId="5" fillId="7" borderId="76" xfId="1" applyFont="1" applyFill="1" applyBorder="1"/>
    <xf numFmtId="43" fontId="0" fillId="7" borderId="76" xfId="1" applyFont="1" applyFill="1" applyBorder="1"/>
    <xf numFmtId="164" fontId="8" fillId="0" borderId="11" xfId="1" applyNumberFormat="1" applyFont="1" applyBorder="1" applyAlignment="1">
      <alignment horizontal="center"/>
    </xf>
    <xf numFmtId="43" fontId="15" fillId="0" borderId="9" xfId="0" applyNumberFormat="1" applyFont="1" applyBorder="1"/>
    <xf numFmtId="3" fontId="0" fillId="0" borderId="12" xfId="0" applyNumberFormat="1" applyBorder="1"/>
    <xf numFmtId="164" fontId="9" fillId="11" borderId="9" xfId="1" applyNumberFormat="1" applyFont="1" applyFill="1" applyBorder="1"/>
    <xf numFmtId="170" fontId="6" fillId="11" borderId="9" xfId="1" applyNumberFormat="1" applyFont="1" applyFill="1" applyBorder="1"/>
    <xf numFmtId="166" fontId="6" fillId="11" borderId="9" xfId="0" applyNumberFormat="1" applyFont="1" applyFill="1" applyBorder="1"/>
    <xf numFmtId="0" fontId="0" fillId="11" borderId="9" xfId="0" applyFill="1" applyBorder="1"/>
    <xf numFmtId="39" fontId="0" fillId="11" borderId="9" xfId="0" applyNumberFormat="1" applyFill="1" applyBorder="1"/>
    <xf numFmtId="0" fontId="30" fillId="0" borderId="19" xfId="0" applyFont="1" applyBorder="1" applyAlignment="1">
      <alignment horizontal="center" vertical="center" wrapText="1"/>
    </xf>
    <xf numFmtId="0" fontId="18" fillId="0" borderId="19" xfId="0" applyFont="1" applyBorder="1" applyAlignment="1">
      <alignment horizontal="center"/>
    </xf>
    <xf numFmtId="0" fontId="0" fillId="0" borderId="85" xfId="0" applyBorder="1"/>
    <xf numFmtId="0" fontId="0" fillId="7" borderId="4" xfId="0" applyFill="1" applyBorder="1"/>
    <xf numFmtId="0" fontId="0" fillId="7" borderId="22" xfId="0" applyFill="1" applyBorder="1"/>
    <xf numFmtId="0" fontId="47" fillId="17" borderId="52" xfId="5" applyFont="1" applyFill="1" applyBorder="1" applyAlignment="1">
      <alignment horizontal="left"/>
    </xf>
    <xf numFmtId="0" fontId="47" fillId="17" borderId="53" xfId="5" applyFont="1" applyFill="1" applyBorder="1" applyAlignment="1">
      <alignment horizontal="left"/>
    </xf>
    <xf numFmtId="0" fontId="47" fillId="17" borderId="54" xfId="5" applyFont="1" applyFill="1" applyBorder="1" applyAlignment="1">
      <alignment horizontal="left"/>
    </xf>
    <xf numFmtId="0" fontId="47" fillId="8" borderId="57" xfId="5" applyFont="1" applyFill="1" applyBorder="1" applyAlignment="1">
      <alignment horizontal="left"/>
    </xf>
    <xf numFmtId="0" fontId="47" fillId="8" borderId="21" xfId="5" applyFont="1" applyFill="1" applyBorder="1" applyAlignment="1">
      <alignment horizontal="left"/>
    </xf>
    <xf numFmtId="0" fontId="47" fillId="8" borderId="20" xfId="5" applyFont="1" applyFill="1" applyBorder="1" applyAlignment="1">
      <alignment horizontal="left"/>
    </xf>
    <xf numFmtId="0" fontId="48" fillId="15" borderId="60" xfId="5" applyFont="1" applyFill="1" applyBorder="1" applyAlignment="1">
      <alignment horizontal="left"/>
    </xf>
    <xf numFmtId="0" fontId="48" fillId="15" borderId="44" xfId="5" applyFont="1" applyFill="1" applyBorder="1" applyAlignment="1">
      <alignment horizontal="left"/>
    </xf>
    <xf numFmtId="0" fontId="49" fillId="0" borderId="61" xfId="5" applyFont="1" applyBorder="1" applyAlignment="1">
      <alignment horizontal="left" vertical="top" wrapText="1"/>
    </xf>
    <xf numFmtId="0" fontId="49" fillId="0" borderId="5" xfId="5" applyFont="1" applyBorder="1" applyAlignment="1">
      <alignment horizontal="left" vertical="top" wrapText="1"/>
    </xf>
    <xf numFmtId="0" fontId="49" fillId="0" borderId="62" xfId="5" applyFont="1" applyBorder="1" applyAlignment="1">
      <alignment horizontal="left" vertical="top" wrapText="1"/>
    </xf>
    <xf numFmtId="0" fontId="48" fillId="15" borderId="36" xfId="5" applyFont="1" applyFill="1" applyBorder="1" applyAlignment="1">
      <alignment horizontal="left"/>
    </xf>
    <xf numFmtId="0" fontId="48" fillId="0" borderId="61" xfId="5" applyFont="1" applyBorder="1" applyAlignment="1">
      <alignment horizontal="left" vertical="top" wrapText="1"/>
    </xf>
    <xf numFmtId="0" fontId="48" fillId="0" borderId="5" xfId="5" applyFont="1" applyBorder="1" applyAlignment="1">
      <alignment horizontal="left" vertical="top" wrapText="1"/>
    </xf>
    <xf numFmtId="0" fontId="48" fillId="0" borderId="62" xfId="5" applyFont="1" applyBorder="1" applyAlignment="1">
      <alignment horizontal="left" vertical="top" wrapText="1"/>
    </xf>
    <xf numFmtId="0" fontId="48" fillId="15" borderId="63" xfId="5" applyFont="1" applyFill="1" applyBorder="1" applyAlignment="1">
      <alignment horizontal="left"/>
    </xf>
    <xf numFmtId="0" fontId="48" fillId="15" borderId="49" xfId="5" applyFont="1" applyFill="1" applyBorder="1" applyAlignment="1">
      <alignment horizontal="left"/>
    </xf>
    <xf numFmtId="0" fontId="48" fillId="15" borderId="50" xfId="5" applyFont="1" applyFill="1" applyBorder="1" applyAlignment="1">
      <alignment horizontal="left"/>
    </xf>
    <xf numFmtId="0" fontId="49" fillId="0" borderId="64" xfId="5" applyFont="1" applyBorder="1" applyAlignment="1">
      <alignment horizontal="left" vertical="top" wrapText="1"/>
    </xf>
    <xf numFmtId="0" fontId="49" fillId="0" borderId="51" xfId="5" applyFont="1" applyBorder="1" applyAlignment="1">
      <alignment horizontal="left" vertical="top" wrapText="1"/>
    </xf>
    <xf numFmtId="0" fontId="49" fillId="0" borderId="65" xfId="5" applyFont="1" applyBorder="1" applyAlignment="1">
      <alignment horizontal="left" vertical="top" wrapText="1"/>
    </xf>
    <xf numFmtId="0" fontId="49" fillId="0" borderId="66" xfId="5" applyFont="1" applyBorder="1" applyAlignment="1">
      <alignment horizontal="left" vertical="top" wrapText="1"/>
    </xf>
    <xf numFmtId="0" fontId="49" fillId="0" borderId="2" xfId="5" applyFont="1" applyBorder="1" applyAlignment="1">
      <alignment horizontal="left" vertical="top" wrapText="1"/>
    </xf>
    <xf numFmtId="0" fontId="49" fillId="0" borderId="67" xfId="5" applyFont="1" applyBorder="1" applyAlignment="1">
      <alignment horizontal="left" vertical="top" wrapText="1"/>
    </xf>
    <xf numFmtId="0" fontId="49" fillId="0" borderId="68" xfId="5" applyFont="1" applyBorder="1" applyAlignment="1">
      <alignment horizontal="left" vertical="top" wrapText="1"/>
    </xf>
    <xf numFmtId="0" fontId="49" fillId="0" borderId="69" xfId="5" applyFont="1" applyBorder="1" applyAlignment="1">
      <alignment horizontal="left" vertical="top" wrapText="1"/>
    </xf>
    <xf numFmtId="0" fontId="49" fillId="0" borderId="70" xfId="5" applyFont="1" applyBorder="1" applyAlignment="1">
      <alignment horizontal="left" vertical="top" wrapText="1"/>
    </xf>
    <xf numFmtId="0" fontId="52" fillId="0" borderId="71" xfId="6" applyFont="1" applyBorder="1" applyAlignment="1">
      <alignment horizontal="center" vertical="top" wrapText="1"/>
    </xf>
    <xf numFmtId="0" fontId="52" fillId="0" borderId="69" xfId="6" applyFont="1" applyBorder="1" applyAlignment="1">
      <alignment horizontal="center" vertical="top" wrapText="1"/>
    </xf>
    <xf numFmtId="0" fontId="52" fillId="0" borderId="70" xfId="6" applyFont="1" applyBorder="1" applyAlignment="1">
      <alignment horizontal="center" vertical="top" wrapText="1"/>
    </xf>
    <xf numFmtId="0" fontId="18" fillId="23" borderId="25" xfId="0" applyFont="1" applyFill="1" applyBorder="1" applyAlignment="1">
      <alignment horizontal="center" vertical="center" wrapText="1"/>
    </xf>
    <xf numFmtId="0" fontId="18" fillId="23" borderId="27" xfId="0" applyFont="1" applyFill="1" applyBorder="1" applyAlignment="1">
      <alignment horizontal="center" vertical="center" wrapText="1"/>
    </xf>
    <xf numFmtId="0" fontId="18" fillId="23" borderId="26" xfId="0" applyFont="1" applyFill="1" applyBorder="1" applyAlignment="1">
      <alignment horizontal="center" vertical="center" wrapText="1"/>
    </xf>
    <xf numFmtId="0" fontId="8" fillId="9" borderId="25" xfId="0" applyFont="1" applyFill="1" applyBorder="1" applyAlignment="1">
      <alignment horizontal="center"/>
    </xf>
    <xf numFmtId="0" fontId="8" fillId="9" borderId="27" xfId="0" applyFont="1" applyFill="1" applyBorder="1" applyAlignment="1">
      <alignment horizontal="center"/>
    </xf>
    <xf numFmtId="0" fontId="8" fillId="9" borderId="26" xfId="0" applyFont="1" applyFill="1" applyBorder="1" applyAlignment="1">
      <alignment horizontal="center"/>
    </xf>
    <xf numFmtId="0" fontId="8" fillId="6" borderId="29" xfId="0" applyFont="1" applyFill="1" applyBorder="1" applyAlignment="1">
      <alignment horizontal="center"/>
    </xf>
    <xf numFmtId="0" fontId="8" fillId="6" borderId="35" xfId="0" applyFont="1" applyFill="1" applyBorder="1" applyAlignment="1">
      <alignment horizontal="center"/>
    </xf>
    <xf numFmtId="0" fontId="8" fillId="6" borderId="17" xfId="0" applyFont="1" applyFill="1" applyBorder="1" applyAlignment="1">
      <alignment horizontal="center"/>
    </xf>
    <xf numFmtId="0" fontId="8" fillId="15" borderId="25" xfId="0" applyFont="1" applyFill="1" applyBorder="1" applyAlignment="1">
      <alignment horizontal="center"/>
    </xf>
    <xf numFmtId="0" fontId="8" fillId="15" borderId="27" xfId="0" applyFont="1" applyFill="1" applyBorder="1" applyAlignment="1">
      <alignment horizontal="center"/>
    </xf>
    <xf numFmtId="0" fontId="8" fillId="15" borderId="26" xfId="0" applyFont="1" applyFill="1" applyBorder="1" applyAlignment="1">
      <alignment horizontal="center"/>
    </xf>
    <xf numFmtId="0" fontId="38" fillId="10" borderId="19" xfId="0" applyFont="1" applyFill="1" applyBorder="1" applyAlignment="1">
      <alignment horizontal="center"/>
    </xf>
    <xf numFmtId="0" fontId="38" fillId="10" borderId="21" xfId="0" applyFont="1" applyFill="1" applyBorder="1" applyAlignment="1">
      <alignment horizontal="center"/>
    </xf>
    <xf numFmtId="0" fontId="38" fillId="10" borderId="20" xfId="0" applyFont="1" applyFill="1" applyBorder="1" applyAlignment="1">
      <alignment horizontal="center"/>
    </xf>
    <xf numFmtId="0" fontId="38" fillId="10" borderId="50" xfId="0" applyFont="1" applyFill="1" applyBorder="1" applyAlignment="1">
      <alignment horizontal="center"/>
    </xf>
    <xf numFmtId="164" fontId="5" fillId="7" borderId="4" xfId="1" applyNumberFormat="1" applyFont="1" applyFill="1" applyBorder="1" applyAlignment="1">
      <alignment horizontal="left"/>
    </xf>
    <xf numFmtId="164" fontId="5" fillId="7" borderId="5" xfId="1" applyNumberFormat="1" applyFont="1" applyFill="1" applyBorder="1" applyAlignment="1">
      <alignment horizontal="left"/>
    </xf>
    <xf numFmtId="164" fontId="5" fillId="7" borderId="1" xfId="1" applyNumberFormat="1" applyFont="1" applyFill="1" applyBorder="1" applyAlignment="1">
      <alignment horizontal="left"/>
    </xf>
    <xf numFmtId="0" fontId="22" fillId="9" borderId="19" xfId="0" applyFont="1" applyFill="1" applyBorder="1" applyAlignment="1">
      <alignment horizontal="left" vertical="center"/>
    </xf>
    <xf numFmtId="0" fontId="22" fillId="9" borderId="21" xfId="0" applyFont="1" applyFill="1" applyBorder="1" applyAlignment="1">
      <alignment horizontal="left" vertical="center"/>
    </xf>
    <xf numFmtId="0" fontId="22" fillId="9" borderId="20" xfId="0" applyFont="1" applyFill="1" applyBorder="1" applyAlignment="1">
      <alignment horizontal="left" vertical="center"/>
    </xf>
    <xf numFmtId="164" fontId="0" fillId="7" borderId="4" xfId="1" applyNumberFormat="1" applyFont="1" applyFill="1" applyBorder="1" applyAlignment="1">
      <alignment horizontal="left"/>
    </xf>
    <xf numFmtId="164" fontId="0" fillId="7" borderId="5" xfId="1" applyNumberFormat="1" applyFont="1" applyFill="1" applyBorder="1" applyAlignment="1">
      <alignment horizontal="left"/>
    </xf>
    <xf numFmtId="164" fontId="0" fillId="7" borderId="1" xfId="1" applyNumberFormat="1" applyFont="1" applyFill="1" applyBorder="1" applyAlignment="1">
      <alignment horizontal="left"/>
    </xf>
    <xf numFmtId="0" fontId="29" fillId="9" borderId="19" xfId="0" applyFont="1" applyFill="1" applyBorder="1" applyAlignment="1">
      <alignment horizontal="left" vertical="center"/>
    </xf>
    <xf numFmtId="0" fontId="29" fillId="9" borderId="21" xfId="0" applyFont="1" applyFill="1" applyBorder="1" applyAlignment="1">
      <alignment horizontal="left" vertical="center"/>
    </xf>
    <xf numFmtId="0" fontId="29" fillId="9" borderId="20" xfId="0" applyFont="1" applyFill="1" applyBorder="1" applyAlignment="1">
      <alignment horizontal="left" vertical="center"/>
    </xf>
    <xf numFmtId="170" fontId="5" fillId="7" borderId="4" xfId="1" applyNumberFormat="1" applyFont="1" applyFill="1" applyBorder="1" applyAlignment="1">
      <alignment horizontal="left"/>
    </xf>
    <xf numFmtId="170" fontId="5" fillId="7" borderId="5" xfId="1" applyNumberFormat="1" applyFont="1" applyFill="1" applyBorder="1" applyAlignment="1">
      <alignment horizontal="left"/>
    </xf>
    <xf numFmtId="170" fontId="5" fillId="7" borderId="1" xfId="1" applyNumberFormat="1" applyFont="1" applyFill="1" applyBorder="1" applyAlignment="1">
      <alignment horizontal="left"/>
    </xf>
    <xf numFmtId="0" fontId="18" fillId="4" borderId="25" xfId="0" applyFont="1" applyFill="1" applyBorder="1" applyAlignment="1">
      <alignment horizontal="left" vertical="center"/>
    </xf>
    <xf numFmtId="0" fontId="18" fillId="4" borderId="26" xfId="0" applyFont="1" applyFill="1" applyBorder="1" applyAlignment="1">
      <alignment horizontal="left" vertical="center"/>
    </xf>
    <xf numFmtId="0" fontId="18" fillId="4" borderId="19" xfId="0" applyFont="1" applyFill="1" applyBorder="1" applyAlignment="1">
      <alignment horizontal="center" wrapText="1"/>
    </xf>
    <xf numFmtId="0" fontId="18" fillId="4" borderId="21" xfId="0" applyFont="1" applyFill="1" applyBorder="1" applyAlignment="1">
      <alignment horizontal="center" wrapText="1"/>
    </xf>
    <xf numFmtId="0" fontId="18" fillId="4" borderId="20" xfId="0" applyFont="1" applyFill="1" applyBorder="1" applyAlignment="1">
      <alignment horizontal="center" wrapText="1"/>
    </xf>
    <xf numFmtId="0" fontId="22" fillId="20" borderId="19" xfId="0" applyFont="1" applyFill="1" applyBorder="1" applyAlignment="1">
      <alignment horizontal="left" vertical="center" wrapText="1"/>
    </xf>
    <xf numFmtId="0" fontId="22" fillId="20" borderId="21" xfId="0" applyFont="1" applyFill="1" applyBorder="1" applyAlignment="1">
      <alignment horizontal="left" vertical="center" wrapText="1"/>
    </xf>
    <xf numFmtId="0" fontId="22" fillId="20" borderId="20" xfId="0" applyFont="1" applyFill="1" applyBorder="1" applyAlignment="1">
      <alignment horizontal="left" vertical="center" wrapText="1"/>
    </xf>
    <xf numFmtId="1" fontId="0" fillId="13" borderId="30" xfId="0" applyNumberFormat="1" applyFill="1" applyBorder="1" applyAlignment="1">
      <alignment horizontal="center" vertical="center" wrapText="1"/>
    </xf>
    <xf numFmtId="0" fontId="0" fillId="0" borderId="0" xfId="0" applyAlignment="1">
      <alignment horizontal="center" vertical="center" wrapText="1"/>
    </xf>
    <xf numFmtId="0" fontId="0" fillId="13" borderId="3" xfId="0" applyFill="1" applyBorder="1" applyAlignment="1">
      <alignment horizontal="center" vertical="center" wrapText="1"/>
    </xf>
    <xf numFmtId="1" fontId="0" fillId="13" borderId="30" xfId="0" applyNumberFormat="1" applyFill="1" applyBorder="1" applyAlignment="1">
      <alignment horizontal="left" vertical="center" wrapText="1"/>
    </xf>
    <xf numFmtId="2" fontId="22" fillId="20" borderId="19" xfId="0" applyNumberFormat="1" applyFont="1" applyFill="1" applyBorder="1" applyAlignment="1">
      <alignment horizontal="left" vertical="center" wrapText="1"/>
    </xf>
    <xf numFmtId="2" fontId="22" fillId="20" borderId="21" xfId="0" applyNumberFormat="1" applyFont="1" applyFill="1" applyBorder="1" applyAlignment="1">
      <alignment horizontal="left" vertical="center" wrapText="1"/>
    </xf>
    <xf numFmtId="2" fontId="22" fillId="20" borderId="20" xfId="0" applyNumberFormat="1" applyFont="1" applyFill="1" applyBorder="1" applyAlignment="1">
      <alignment horizontal="left" vertical="center" wrapText="1"/>
    </xf>
    <xf numFmtId="2" fontId="0" fillId="13" borderId="3" xfId="0" applyNumberFormat="1" applyFill="1" applyBorder="1" applyAlignment="1">
      <alignment horizontal="center" vertical="center" wrapText="1"/>
    </xf>
    <xf numFmtId="2" fontId="0" fillId="13" borderId="30" xfId="0" applyNumberFormat="1" applyFill="1" applyBorder="1" applyAlignment="1">
      <alignment horizontal="left" vertical="center" wrapText="1"/>
    </xf>
    <xf numFmtId="2" fontId="0" fillId="13" borderId="30" xfId="0" applyNumberFormat="1" applyFill="1" applyBorder="1" applyAlignment="1">
      <alignment horizontal="center" vertical="center" wrapText="1"/>
    </xf>
    <xf numFmtId="172" fontId="0" fillId="13" borderId="30" xfId="0" applyNumberFormat="1" applyFill="1" applyBorder="1" applyAlignment="1">
      <alignment horizontal="left" vertical="center" wrapText="1"/>
    </xf>
    <xf numFmtId="172" fontId="0" fillId="13" borderId="4" xfId="0" applyNumberFormat="1" applyFill="1" applyBorder="1" applyAlignment="1">
      <alignment horizontal="left" vertical="center" wrapText="1"/>
    </xf>
    <xf numFmtId="172" fontId="0" fillId="13" borderId="5" xfId="0" applyNumberFormat="1" applyFill="1" applyBorder="1" applyAlignment="1">
      <alignment horizontal="left" vertical="center" wrapText="1"/>
    </xf>
    <xf numFmtId="172" fontId="0" fillId="13" borderId="1" xfId="0" applyNumberFormat="1" applyFill="1" applyBorder="1" applyAlignment="1">
      <alignment horizontal="left" vertical="center" wrapText="1"/>
    </xf>
    <xf numFmtId="43" fontId="0" fillId="7" borderId="4" xfId="1" applyFont="1" applyFill="1" applyBorder="1" applyAlignment="1">
      <alignment horizontal="left"/>
    </xf>
    <xf numFmtId="43" fontId="0" fillId="7" borderId="5" xfId="1" applyFont="1" applyFill="1" applyBorder="1" applyAlignment="1">
      <alignment horizontal="left"/>
    </xf>
    <xf numFmtId="43" fontId="0" fillId="7" borderId="1" xfId="1" applyFont="1" applyFill="1" applyBorder="1" applyAlignment="1">
      <alignment horizontal="left"/>
    </xf>
    <xf numFmtId="0" fontId="29" fillId="9" borderId="19" xfId="0" applyFont="1" applyFill="1" applyBorder="1" applyAlignment="1">
      <alignment horizontal="center" vertical="center"/>
    </xf>
    <xf numFmtId="0" fontId="29" fillId="9" borderId="21" xfId="0" applyFont="1" applyFill="1" applyBorder="1" applyAlignment="1">
      <alignment horizontal="center" vertical="center"/>
    </xf>
    <xf numFmtId="0" fontId="29" fillId="9" borderId="24" xfId="0" applyFont="1" applyFill="1" applyBorder="1" applyAlignment="1">
      <alignment horizontal="center" vertical="center"/>
    </xf>
    <xf numFmtId="43" fontId="5" fillId="7" borderId="4" xfId="1" applyFont="1" applyFill="1" applyBorder="1" applyAlignment="1">
      <alignment horizontal="left"/>
    </xf>
    <xf numFmtId="43" fontId="5" fillId="7" borderId="5" xfId="1" applyFont="1" applyFill="1" applyBorder="1" applyAlignment="1">
      <alignment horizontal="left"/>
    </xf>
    <xf numFmtId="43" fontId="5" fillId="7" borderId="1" xfId="1" applyFont="1" applyFill="1" applyBorder="1" applyAlignment="1">
      <alignment horizontal="left"/>
    </xf>
    <xf numFmtId="0" fontId="22" fillId="9" borderId="19" xfId="0" applyFont="1" applyFill="1" applyBorder="1" applyAlignment="1">
      <alignment horizontal="center" vertical="center"/>
    </xf>
    <xf numFmtId="0" fontId="22" fillId="9" borderId="21" xfId="0" applyFont="1" applyFill="1" applyBorder="1" applyAlignment="1">
      <alignment horizontal="center" vertical="center"/>
    </xf>
    <xf numFmtId="0" fontId="22" fillId="9" borderId="24" xfId="0" applyFont="1" applyFill="1" applyBorder="1" applyAlignment="1">
      <alignment horizontal="center" vertical="center"/>
    </xf>
    <xf numFmtId="0" fontId="22" fillId="4" borderId="19" xfId="0" applyFont="1" applyFill="1" applyBorder="1" applyAlignment="1">
      <alignment horizontal="left" vertical="center"/>
    </xf>
    <xf numFmtId="0" fontId="22" fillId="4" borderId="21" xfId="0" applyFont="1" applyFill="1" applyBorder="1" applyAlignment="1">
      <alignment horizontal="left" vertical="center"/>
    </xf>
    <xf numFmtId="0" fontId="22" fillId="4" borderId="20" xfId="0" applyFont="1" applyFill="1" applyBorder="1" applyAlignment="1">
      <alignment horizontal="left" vertical="center"/>
    </xf>
    <xf numFmtId="0" fontId="7" fillId="0" borderId="19" xfId="0" applyFont="1" applyBorder="1" applyAlignment="1">
      <alignment horizontal="center"/>
    </xf>
    <xf numFmtId="0" fontId="7" fillId="0" borderId="21" xfId="0" applyFont="1" applyBorder="1" applyAlignment="1">
      <alignment horizontal="center"/>
    </xf>
    <xf numFmtId="0" fontId="7" fillId="0" borderId="20" xfId="0" applyFont="1" applyBorder="1" applyAlignment="1">
      <alignment horizontal="center"/>
    </xf>
    <xf numFmtId="0" fontId="8" fillId="10" borderId="19" xfId="0" applyFont="1" applyFill="1" applyBorder="1" applyAlignment="1">
      <alignment horizontal="center"/>
    </xf>
    <xf numFmtId="0" fontId="8" fillId="10" borderId="21" xfId="0" applyFont="1" applyFill="1" applyBorder="1" applyAlignment="1">
      <alignment horizontal="center"/>
    </xf>
    <xf numFmtId="0" fontId="8" fillId="10" borderId="20" xfId="0" applyFont="1" applyFill="1" applyBorder="1" applyAlignment="1">
      <alignment horizontal="center"/>
    </xf>
    <xf numFmtId="0" fontId="8" fillId="22" borderId="19" xfId="0" applyFont="1" applyFill="1" applyBorder="1" applyAlignment="1">
      <alignment horizontal="center"/>
    </xf>
    <xf numFmtId="0" fontId="8" fillId="22" borderId="21" xfId="0" applyFont="1" applyFill="1" applyBorder="1" applyAlignment="1">
      <alignment horizontal="center"/>
    </xf>
    <xf numFmtId="0" fontId="8" fillId="22" borderId="20" xfId="0" applyFont="1" applyFill="1" applyBorder="1" applyAlignment="1">
      <alignment horizontal="center"/>
    </xf>
    <xf numFmtId="0" fontId="22" fillId="9" borderId="18" xfId="0" applyFont="1" applyFill="1" applyBorder="1" applyAlignment="1">
      <alignment horizontal="left" vertical="center"/>
    </xf>
    <xf numFmtId="0" fontId="0" fillId="7" borderId="30" xfId="0" applyFill="1" applyBorder="1" applyAlignment="1">
      <alignment horizontal="center"/>
    </xf>
  </cellXfs>
  <cellStyles count="7">
    <cellStyle name="Comma" xfId="1" builtinId="3"/>
    <cellStyle name="Hyperlink" xfId="3" builtinId="8"/>
    <cellStyle name="Hyperlink 2 2" xfId="6" xr:uid="{58964820-38E0-234E-9F36-FD223F782009}"/>
    <cellStyle name="Normal" xfId="0" builtinId="0"/>
    <cellStyle name="Normal 2 2" xfId="5" xr:uid="{073B4C04-301C-E547-8BAB-10557684E480}"/>
    <cellStyle name="Percent" xfId="2" builtinId="5"/>
    <cellStyle name="Style 3" xfId="4" xr:uid="{FB07365D-2CF2-4B83-A021-89A7FF253EE1}"/>
  </cellStyles>
  <dxfs count="0"/>
  <tableStyles count="0" defaultTableStyle="TableStyleMedium2" defaultPivotStyle="PivotStyleLight16"/>
  <colors>
    <mruColors>
      <color rgb="FF51F101"/>
      <color rgb="FF00B853"/>
      <color rgb="FFFF7C80"/>
      <color rgb="FFCC99FF"/>
      <color rgb="FFFF5050"/>
      <color rgb="FFFFCCFF"/>
      <color rgb="FFCCCCFF"/>
      <color rgb="FFFF99CC"/>
      <color rgb="FFCC66FF"/>
      <color rgb="FF00FA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14</xdr:col>
      <xdr:colOff>682624</xdr:colOff>
      <xdr:row>17</xdr:row>
      <xdr:rowOff>269875</xdr:rowOff>
    </xdr:from>
    <xdr:to>
      <xdr:col>28</xdr:col>
      <xdr:colOff>31749</xdr:colOff>
      <xdr:row>57</xdr:row>
      <xdr:rowOff>15875</xdr:rowOff>
    </xdr:to>
    <xdr:pic>
      <xdr:nvPicPr>
        <xdr:cNvPr id="3" name="Picture 2">
          <a:extLst>
            <a:ext uri="{FF2B5EF4-FFF2-40B4-BE49-F238E27FC236}">
              <a16:creationId xmlns:a16="http://schemas.microsoft.com/office/drawing/2014/main" id="{2AADF0B0-885B-3E62-A78A-C831BA1E3A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93749" y="12906375"/>
          <a:ext cx="12684125" cy="8191500"/>
        </a:xfrm>
        <a:prstGeom prst="rect">
          <a:avLst/>
        </a:prstGeom>
      </xdr:spPr>
    </xdr:pic>
    <xdr:clientData/>
  </xdr:twoCellAnchor>
  <xdr:twoCellAnchor editAs="oneCell">
    <xdr:from>
      <xdr:col>1</xdr:col>
      <xdr:colOff>0</xdr:colOff>
      <xdr:row>17</xdr:row>
      <xdr:rowOff>269875</xdr:rowOff>
    </xdr:from>
    <xdr:to>
      <xdr:col>14</xdr:col>
      <xdr:colOff>571500</xdr:colOff>
      <xdr:row>57</xdr:row>
      <xdr:rowOff>15875</xdr:rowOff>
    </xdr:to>
    <xdr:pic>
      <xdr:nvPicPr>
        <xdr:cNvPr id="6" name="Picture 5">
          <a:extLst>
            <a:ext uri="{FF2B5EF4-FFF2-40B4-BE49-F238E27FC236}">
              <a16:creationId xmlns:a16="http://schemas.microsoft.com/office/drawing/2014/main" id="{CE3D0DDA-C4D2-8FF8-32F3-220E4FEBF2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9875" y="12906375"/>
          <a:ext cx="13112750" cy="819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282052</xdr:colOff>
      <xdr:row>23</xdr:row>
      <xdr:rowOff>184784</xdr:rowOff>
    </xdr:from>
    <xdr:to>
      <xdr:col>1</xdr:col>
      <xdr:colOff>4512610</xdr:colOff>
      <xdr:row>37</xdr:row>
      <xdr:rowOff>28911</xdr:rowOff>
    </xdr:to>
    <xdr:pic>
      <xdr:nvPicPr>
        <xdr:cNvPr id="2" name="image7.png">
          <a:extLst>
            <a:ext uri="{FF2B5EF4-FFF2-40B4-BE49-F238E27FC236}">
              <a16:creationId xmlns:a16="http://schemas.microsoft.com/office/drawing/2014/main" id="{0BC664A5-625C-4E17-9838-4F2A6431269A}"/>
            </a:ext>
          </a:extLst>
        </xdr:cNvPr>
        <xdr:cNvPicPr/>
      </xdr:nvPicPr>
      <xdr:blipFill>
        <a:blip xmlns:r="http://schemas.openxmlformats.org/officeDocument/2006/relationships" r:embed="rId1"/>
        <a:srcRect l="8345" t="2777" r="4526" b="1493"/>
        <a:stretch>
          <a:fillRect/>
        </a:stretch>
      </xdr:blipFill>
      <xdr:spPr>
        <a:xfrm>
          <a:off x="730287" y="7457402"/>
          <a:ext cx="4224843" cy="2367131"/>
        </a:xfrm>
        <a:prstGeom prst="rect">
          <a:avLst/>
        </a:prstGeom>
        <a:ln/>
      </xdr:spPr>
    </xdr:pic>
    <xdr:clientData/>
  </xdr:twoCellAnchor>
  <xdr:twoCellAnchor editAs="oneCell">
    <xdr:from>
      <xdr:col>1</xdr:col>
      <xdr:colOff>4805195</xdr:colOff>
      <xdr:row>24</xdr:row>
      <xdr:rowOff>120648</xdr:rowOff>
    </xdr:from>
    <xdr:to>
      <xdr:col>1</xdr:col>
      <xdr:colOff>6840011</xdr:colOff>
      <xdr:row>36</xdr:row>
      <xdr:rowOff>60905</xdr:rowOff>
    </xdr:to>
    <xdr:pic>
      <xdr:nvPicPr>
        <xdr:cNvPr id="3" name="image8.png">
          <a:extLst>
            <a:ext uri="{FF2B5EF4-FFF2-40B4-BE49-F238E27FC236}">
              <a16:creationId xmlns:a16="http://schemas.microsoft.com/office/drawing/2014/main" id="{3EBEE1A6-2623-48EC-BC51-56F44CCA7C83}"/>
            </a:ext>
          </a:extLst>
        </xdr:cNvPr>
        <xdr:cNvPicPr/>
      </xdr:nvPicPr>
      <xdr:blipFill>
        <a:blip xmlns:r="http://schemas.openxmlformats.org/officeDocument/2006/relationships" r:embed="rId2"/>
        <a:srcRect/>
        <a:stretch>
          <a:fillRect/>
        </a:stretch>
      </xdr:blipFill>
      <xdr:spPr>
        <a:xfrm>
          <a:off x="5253430" y="7583766"/>
          <a:ext cx="2027196" cy="2084166"/>
        </a:xfrm>
        <a:prstGeom prst="rect">
          <a:avLst/>
        </a:prstGeom>
        <a:ln>
          <a:solidFill>
            <a:sysClr val="windowText" lastClr="000000"/>
          </a:solidFill>
        </a:ln>
      </xdr:spPr>
    </xdr:pic>
    <xdr:clientData/>
  </xdr:twoCellAnchor>
  <xdr:twoCellAnchor editAs="oneCell">
    <xdr:from>
      <xdr:col>1</xdr:col>
      <xdr:colOff>9724650</xdr:colOff>
      <xdr:row>24</xdr:row>
      <xdr:rowOff>142297</xdr:rowOff>
    </xdr:from>
    <xdr:to>
      <xdr:col>1</xdr:col>
      <xdr:colOff>11830570</xdr:colOff>
      <xdr:row>36</xdr:row>
      <xdr:rowOff>73269</xdr:rowOff>
    </xdr:to>
    <xdr:pic>
      <xdr:nvPicPr>
        <xdr:cNvPr id="5" name="image3.png">
          <a:extLst>
            <a:ext uri="{FF2B5EF4-FFF2-40B4-BE49-F238E27FC236}">
              <a16:creationId xmlns:a16="http://schemas.microsoft.com/office/drawing/2014/main" id="{1A47E603-7C44-4138-8147-A1DECF6E690F}"/>
            </a:ext>
          </a:extLst>
        </xdr:cNvPr>
        <xdr:cNvPicPr/>
      </xdr:nvPicPr>
      <xdr:blipFill>
        <a:blip xmlns:r="http://schemas.openxmlformats.org/officeDocument/2006/relationships" r:embed="rId3"/>
        <a:srcRect/>
        <a:stretch>
          <a:fillRect/>
        </a:stretch>
      </xdr:blipFill>
      <xdr:spPr>
        <a:xfrm>
          <a:off x="10172885" y="7605415"/>
          <a:ext cx="2094490" cy="2082501"/>
        </a:xfrm>
        <a:prstGeom prst="rect">
          <a:avLst/>
        </a:prstGeom>
        <a:ln>
          <a:solidFill>
            <a:sysClr val="windowText" lastClr="000000"/>
          </a:solidFill>
        </a:ln>
      </xdr:spPr>
    </xdr:pic>
    <xdr:clientData/>
  </xdr:twoCellAnchor>
  <xdr:twoCellAnchor editAs="oneCell">
    <xdr:from>
      <xdr:col>1</xdr:col>
      <xdr:colOff>7339854</xdr:colOff>
      <xdr:row>24</xdr:row>
      <xdr:rowOff>137822</xdr:rowOff>
    </xdr:from>
    <xdr:to>
      <xdr:col>1</xdr:col>
      <xdr:colOff>9427361</xdr:colOff>
      <xdr:row>36</xdr:row>
      <xdr:rowOff>55805</xdr:rowOff>
    </xdr:to>
    <xdr:pic>
      <xdr:nvPicPr>
        <xdr:cNvPr id="6" name="image1.png">
          <a:extLst>
            <a:ext uri="{FF2B5EF4-FFF2-40B4-BE49-F238E27FC236}">
              <a16:creationId xmlns:a16="http://schemas.microsoft.com/office/drawing/2014/main" id="{224C28E2-5630-4AB3-AE78-FFA8A912C224}"/>
            </a:ext>
          </a:extLst>
        </xdr:cNvPr>
        <xdr:cNvPicPr/>
      </xdr:nvPicPr>
      <xdr:blipFill>
        <a:blip xmlns:r="http://schemas.openxmlformats.org/officeDocument/2006/relationships" r:embed="rId4"/>
        <a:srcRect/>
        <a:stretch>
          <a:fillRect/>
        </a:stretch>
      </xdr:blipFill>
      <xdr:spPr>
        <a:xfrm>
          <a:off x="7788089" y="7600940"/>
          <a:ext cx="2095127" cy="2077132"/>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auzzanae/Documents/000_Sustainability%20Office/07_Other%20Organizations_Sustainability%20Plans/City/Ann%20Arbor%20GHG%20Inventory_2020%20ForWebsi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and Guide"/>
      <sheetName val="Emissions Summary"/>
      <sheetName val="Detailed Emissions Summary"/>
      <sheetName val="Tracking Metrics"/>
      <sheetName val="Data Sources"/>
      <sheetName val="A Community Indicators Data"/>
      <sheetName val="B Climate Data"/>
      <sheetName val="C Stationary Fuel Factor Set"/>
      <sheetName val="D Grid Energy Factor Set"/>
      <sheetName val="E Transportation Factor Set"/>
      <sheetName val="F Solid Waste Factor Set"/>
      <sheetName val="G Wastewater Factor Set"/>
      <sheetName val="H Built Environment Data"/>
      <sheetName val="I Transportation Data"/>
      <sheetName val="J Commuting Data"/>
      <sheetName val="K Solid Waste Data"/>
      <sheetName val="L Water and Wastewater Data"/>
      <sheetName val="Built Environment Emissions"/>
      <sheetName val="Transportation Emissions"/>
      <sheetName val="Solid Waste Emissions"/>
      <sheetName val="Wastewater Emissions"/>
      <sheetName val="Conversion 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5">
          <cell r="C15">
            <v>1000</v>
          </cell>
        </row>
        <row r="21">
          <cell r="C21">
            <v>4.5399999999999998E-4</v>
          </cell>
        </row>
        <row r="23">
          <cell r="C23">
            <v>1E-3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2schools.org/Page/1897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ipcc.ch/site/assets/uploads/2018/02/ipcc_wg3_ar5_annex-i.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2ABB6-A978-9C48-8700-BBBD7B5AA82B}">
  <sheetPr>
    <tabColor theme="0"/>
    <pageSetUpPr fitToPage="1"/>
  </sheetPr>
  <dimension ref="B1:AB18"/>
  <sheetViews>
    <sheetView tabSelected="1" zoomScale="80" zoomScaleNormal="80" workbookViewId="0">
      <selection activeCell="B6" sqref="B6:AB6"/>
    </sheetView>
  </sheetViews>
  <sheetFormatPr baseColWidth="10" defaultColWidth="12.5" defaultRowHeight="16"/>
  <cols>
    <col min="1" max="1" width="3.5" style="448" customWidth="1"/>
    <col min="2" max="6" width="12.5" style="448"/>
    <col min="7" max="7" width="14.5" style="448" customWidth="1"/>
    <col min="8" max="16384" width="12.5" style="448"/>
  </cols>
  <sheetData>
    <row r="1" spans="2:28" ht="17" thickBot="1"/>
    <row r="2" spans="2:28" ht="47" thickTop="1" thickBot="1">
      <c r="B2" s="630" t="s">
        <v>266</v>
      </c>
      <c r="C2" s="631"/>
      <c r="D2" s="631"/>
      <c r="E2" s="631"/>
      <c r="F2" s="631"/>
      <c r="G2" s="631"/>
      <c r="H2" s="631"/>
      <c r="I2" s="631"/>
      <c r="J2" s="631"/>
      <c r="K2" s="631"/>
      <c r="L2" s="631"/>
      <c r="M2" s="631"/>
      <c r="N2" s="631"/>
      <c r="O2" s="631"/>
      <c r="P2" s="631"/>
      <c r="Q2" s="631"/>
      <c r="R2" s="631"/>
      <c r="S2" s="631"/>
      <c r="T2" s="632"/>
      <c r="U2" s="452"/>
      <c r="V2" s="452"/>
      <c r="W2" s="452"/>
      <c r="X2" s="452"/>
      <c r="Y2" s="452"/>
      <c r="Z2" s="452"/>
      <c r="AA2" s="452"/>
      <c r="AB2" s="453"/>
    </row>
    <row r="3" spans="2:28" ht="46" thickBot="1">
      <c r="B3" s="633" t="s">
        <v>267</v>
      </c>
      <c r="C3" s="634"/>
      <c r="D3" s="634"/>
      <c r="E3" s="634"/>
      <c r="F3" s="634"/>
      <c r="G3" s="634"/>
      <c r="H3" s="634"/>
      <c r="I3" s="634"/>
      <c r="J3" s="634"/>
      <c r="K3" s="634"/>
      <c r="L3" s="634"/>
      <c r="M3" s="634"/>
      <c r="N3" s="634"/>
      <c r="O3" s="634"/>
      <c r="P3" s="634"/>
      <c r="Q3" s="634"/>
      <c r="R3" s="634"/>
      <c r="S3" s="634"/>
      <c r="T3" s="635"/>
      <c r="AB3" s="454"/>
    </row>
    <row r="4" spans="2:28" ht="17" thickBot="1">
      <c r="B4" s="455"/>
      <c r="AB4" s="454"/>
    </row>
    <row r="5" spans="2:28" ht="33">
      <c r="B5" s="636" t="s">
        <v>275</v>
      </c>
      <c r="C5" s="641"/>
      <c r="D5" s="641"/>
      <c r="E5" s="641"/>
      <c r="F5" s="641"/>
      <c r="G5" s="641"/>
      <c r="H5" s="637"/>
      <c r="AB5" s="454"/>
    </row>
    <row r="6" spans="2:28" ht="287" customHeight="1">
      <c r="B6" s="642" t="s">
        <v>292</v>
      </c>
      <c r="C6" s="643"/>
      <c r="D6" s="643"/>
      <c r="E6" s="643"/>
      <c r="F6" s="643"/>
      <c r="G6" s="643"/>
      <c r="H6" s="643"/>
      <c r="I6" s="643"/>
      <c r="J6" s="643"/>
      <c r="K6" s="643"/>
      <c r="L6" s="643"/>
      <c r="M6" s="643"/>
      <c r="N6" s="643"/>
      <c r="O6" s="643"/>
      <c r="P6" s="643"/>
      <c r="Q6" s="643"/>
      <c r="R6" s="643"/>
      <c r="S6" s="643"/>
      <c r="T6" s="643"/>
      <c r="U6" s="643"/>
      <c r="V6" s="643"/>
      <c r="W6" s="643"/>
      <c r="X6" s="643"/>
      <c r="Y6" s="643"/>
      <c r="Z6" s="643"/>
      <c r="AA6" s="643"/>
      <c r="AB6" s="644"/>
    </row>
    <row r="7" spans="2:28" ht="17" thickBot="1">
      <c r="B7" s="455"/>
      <c r="AB7" s="454"/>
    </row>
    <row r="8" spans="2:28" ht="33">
      <c r="B8" s="636" t="s">
        <v>268</v>
      </c>
      <c r="C8" s="637"/>
      <c r="AB8" s="454"/>
    </row>
    <row r="9" spans="2:28" ht="104" customHeight="1">
      <c r="B9" s="638" t="s">
        <v>269</v>
      </c>
      <c r="C9" s="639"/>
      <c r="D9" s="639"/>
      <c r="E9" s="639"/>
      <c r="F9" s="639"/>
      <c r="G9" s="639"/>
      <c r="H9" s="639"/>
      <c r="I9" s="639"/>
      <c r="J9" s="639"/>
      <c r="K9" s="639"/>
      <c r="L9" s="639"/>
      <c r="M9" s="639"/>
      <c r="N9" s="639"/>
      <c r="O9" s="639"/>
      <c r="P9" s="639"/>
      <c r="Q9" s="639"/>
      <c r="R9" s="639"/>
      <c r="S9" s="639"/>
      <c r="T9" s="639"/>
      <c r="U9" s="639"/>
      <c r="V9" s="639"/>
      <c r="W9" s="639"/>
      <c r="X9" s="639"/>
      <c r="Y9" s="639"/>
      <c r="Z9" s="639"/>
      <c r="AA9" s="639"/>
      <c r="AB9" s="640"/>
    </row>
    <row r="10" spans="2:28" ht="16.25" customHeight="1" thickBot="1">
      <c r="B10" s="456"/>
      <c r="C10" s="450"/>
      <c r="D10" s="450"/>
      <c r="E10" s="450"/>
      <c r="F10" s="450"/>
      <c r="G10" s="450"/>
      <c r="H10" s="450"/>
      <c r="I10" s="450"/>
      <c r="J10" s="450"/>
      <c r="K10" s="450"/>
      <c r="L10" s="450"/>
      <c r="AB10" s="454"/>
    </row>
    <row r="11" spans="2:28" ht="33">
      <c r="B11" s="636" t="s">
        <v>270</v>
      </c>
      <c r="C11" s="637"/>
      <c r="AB11" s="454"/>
    </row>
    <row r="12" spans="2:28" ht="69" customHeight="1">
      <c r="B12" s="638" t="s">
        <v>271</v>
      </c>
      <c r="C12" s="639"/>
      <c r="D12" s="639"/>
      <c r="E12" s="639"/>
      <c r="F12" s="639"/>
      <c r="G12" s="639"/>
      <c r="H12" s="639"/>
      <c r="I12" s="639"/>
      <c r="J12" s="639"/>
      <c r="K12" s="639"/>
      <c r="L12" s="639"/>
      <c r="M12" s="639"/>
      <c r="N12" s="639"/>
      <c r="O12" s="639"/>
      <c r="P12" s="639"/>
      <c r="Q12" s="639"/>
      <c r="R12" s="639"/>
      <c r="S12" s="639"/>
      <c r="T12" s="639"/>
      <c r="U12" s="639"/>
      <c r="V12" s="639"/>
      <c r="W12" s="639"/>
      <c r="X12" s="639"/>
      <c r="Y12" s="639"/>
      <c r="Z12" s="639"/>
      <c r="AA12" s="639"/>
      <c r="AB12" s="640"/>
    </row>
    <row r="13" spans="2:28" ht="23.75" customHeight="1" thickBot="1">
      <c r="B13" s="457"/>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c r="AA13" s="451"/>
      <c r="AB13" s="458"/>
    </row>
    <row r="14" spans="2:28" ht="36" customHeight="1">
      <c r="B14" s="645" t="s">
        <v>272</v>
      </c>
      <c r="C14" s="646"/>
      <c r="D14" s="646"/>
      <c r="E14" s="646"/>
      <c r="F14" s="646"/>
      <c r="G14" s="646"/>
      <c r="H14" s="646"/>
      <c r="I14" s="646"/>
      <c r="J14" s="646"/>
      <c r="K14" s="647"/>
      <c r="AB14" s="454"/>
    </row>
    <row r="15" spans="2:28" ht="71" customHeight="1">
      <c r="B15" s="648" t="s">
        <v>276</v>
      </c>
      <c r="C15" s="649"/>
      <c r="D15" s="649"/>
      <c r="E15" s="649"/>
      <c r="F15" s="649"/>
      <c r="G15" s="649"/>
      <c r="H15" s="649"/>
      <c r="I15" s="649"/>
      <c r="J15" s="649"/>
      <c r="K15" s="649"/>
      <c r="L15" s="649"/>
      <c r="M15" s="649"/>
      <c r="N15" s="649"/>
      <c r="O15" s="649"/>
      <c r="P15" s="649"/>
      <c r="Q15" s="649"/>
      <c r="R15" s="649"/>
      <c r="S15" s="649"/>
      <c r="T15" s="649"/>
      <c r="U15" s="649"/>
      <c r="V15" s="649"/>
      <c r="W15" s="649"/>
      <c r="X15" s="649"/>
      <c r="Y15" s="649"/>
      <c r="Z15" s="649"/>
      <c r="AA15" s="649"/>
      <c r="AB15" s="650"/>
    </row>
    <row r="16" spans="2:28" ht="103.25" customHeight="1">
      <c r="B16" s="651"/>
      <c r="C16" s="652"/>
      <c r="D16" s="652"/>
      <c r="E16" s="652"/>
      <c r="F16" s="652"/>
      <c r="G16" s="652"/>
      <c r="H16" s="652"/>
      <c r="I16" s="652"/>
      <c r="J16" s="652"/>
      <c r="K16" s="652"/>
      <c r="L16" s="652"/>
      <c r="M16" s="652"/>
      <c r="N16" s="652"/>
      <c r="O16" s="652"/>
      <c r="P16" s="652"/>
      <c r="Q16" s="652"/>
      <c r="R16" s="652"/>
      <c r="S16" s="652"/>
      <c r="T16" s="652"/>
      <c r="U16" s="652"/>
      <c r="V16" s="652"/>
      <c r="W16" s="652"/>
      <c r="X16" s="652"/>
      <c r="Y16" s="652"/>
      <c r="Z16" s="652"/>
      <c r="AA16" s="652"/>
      <c r="AB16" s="653"/>
    </row>
    <row r="17" spans="2:28" ht="42" customHeight="1" thickBot="1">
      <c r="B17" s="654" t="s">
        <v>273</v>
      </c>
      <c r="C17" s="655"/>
      <c r="D17" s="655"/>
      <c r="E17" s="655"/>
      <c r="F17" s="655"/>
      <c r="G17" s="655"/>
      <c r="H17" s="655"/>
      <c r="I17" s="655"/>
      <c r="J17" s="655"/>
      <c r="K17" s="655"/>
      <c r="L17" s="656"/>
      <c r="M17" s="657" t="s">
        <v>274</v>
      </c>
      <c r="N17" s="658"/>
      <c r="O17" s="658"/>
      <c r="P17" s="658"/>
      <c r="Q17" s="658"/>
      <c r="R17" s="658"/>
      <c r="S17" s="658"/>
      <c r="T17" s="659"/>
      <c r="U17" s="459"/>
      <c r="V17" s="459"/>
      <c r="W17" s="460"/>
      <c r="X17" s="460"/>
      <c r="Y17" s="460"/>
      <c r="Z17" s="460"/>
      <c r="AA17" s="460"/>
      <c r="AB17" s="461"/>
    </row>
    <row r="18" spans="2:28" ht="31.25" customHeight="1" thickTop="1">
      <c r="B18" s="449"/>
      <c r="C18" s="449"/>
      <c r="D18" s="449"/>
      <c r="E18" s="449"/>
      <c r="F18" s="449"/>
      <c r="G18" s="449"/>
      <c r="H18" s="449"/>
      <c r="I18" s="449"/>
      <c r="J18" s="449"/>
      <c r="K18" s="449"/>
      <c r="L18" s="449"/>
      <c r="M18" s="449"/>
      <c r="N18" s="449"/>
      <c r="O18" s="449"/>
      <c r="P18" s="449"/>
      <c r="Q18" s="449"/>
      <c r="R18" s="449"/>
      <c r="S18" s="449"/>
      <c r="T18" s="449"/>
      <c r="U18" s="449"/>
      <c r="V18" s="449"/>
      <c r="W18" s="449"/>
      <c r="X18" s="449"/>
      <c r="Y18" s="449"/>
      <c r="Z18" s="449"/>
      <c r="AA18" s="449"/>
      <c r="AB18" s="449"/>
    </row>
  </sheetData>
  <mergeCells count="12">
    <mergeCell ref="B12:AB12"/>
    <mergeCell ref="B14:K14"/>
    <mergeCell ref="B15:AB16"/>
    <mergeCell ref="B17:L17"/>
    <mergeCell ref="M17:T17"/>
    <mergeCell ref="B2:T2"/>
    <mergeCell ref="B3:T3"/>
    <mergeCell ref="B8:C8"/>
    <mergeCell ref="B9:AB9"/>
    <mergeCell ref="B11:C11"/>
    <mergeCell ref="B5:H5"/>
    <mergeCell ref="B6:AB6"/>
  </mergeCells>
  <hyperlinks>
    <hyperlink ref="M17" r:id="rId1" xr:uid="{6F401342-9FE6-6C49-AD7D-D356B52BEB89}"/>
  </hyperlinks>
  <pageMargins left="0.7" right="0.7" top="0.75" bottom="0.75" header="0.3" footer="0.3"/>
  <pageSetup scale="3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8724F-8634-4FE1-A288-389D091DD5C6}">
  <sheetPr>
    <pageSetUpPr fitToPage="1"/>
  </sheetPr>
  <dimension ref="A1:BV49"/>
  <sheetViews>
    <sheetView zoomScale="85" zoomScaleNormal="85" workbookViewId="0">
      <selection activeCell="U10" sqref="U10"/>
    </sheetView>
  </sheetViews>
  <sheetFormatPr baseColWidth="10" defaultColWidth="8.6640625" defaultRowHeight="15"/>
  <cols>
    <col min="2" max="2" width="36.5" customWidth="1"/>
    <col min="3" max="3" width="13.33203125" hidden="1" customWidth="1"/>
    <col min="4" max="6" width="14.33203125" hidden="1" customWidth="1"/>
    <col min="7" max="7" width="13.33203125" hidden="1" customWidth="1"/>
    <col min="8" max="21" width="14.5" customWidth="1"/>
    <col min="22" max="22" width="10.6640625" customWidth="1"/>
    <col min="23" max="23" width="0" hidden="1" customWidth="1"/>
    <col min="24" max="24" width="19" hidden="1" customWidth="1"/>
    <col min="25" max="31" width="0" hidden="1" customWidth="1"/>
  </cols>
  <sheetData>
    <row r="1" spans="1:74" ht="16" thickBot="1"/>
    <row r="2" spans="1:74" ht="61.25" customHeight="1" thickBot="1">
      <c r="B2" s="250" t="s">
        <v>136</v>
      </c>
      <c r="C2" s="28"/>
      <c r="D2" s="251"/>
      <c r="E2" s="28"/>
      <c r="F2" s="28"/>
      <c r="G2" s="28"/>
      <c r="H2" s="28"/>
      <c r="I2" s="29"/>
      <c r="J2" s="290"/>
      <c r="K2" s="194"/>
      <c r="L2" s="194"/>
      <c r="M2" s="194"/>
      <c r="N2" s="194"/>
      <c r="O2" s="194"/>
      <c r="P2" s="194"/>
      <c r="Q2" s="194"/>
      <c r="R2" s="194"/>
      <c r="S2" s="252" t="s">
        <v>264</v>
      </c>
      <c r="T2" s="252" t="s">
        <v>160</v>
      </c>
      <c r="U2" s="510"/>
    </row>
    <row r="3" spans="1:74" s="68" customFormat="1" ht="22" thickBot="1">
      <c r="B3" s="291" t="s">
        <v>90</v>
      </c>
      <c r="C3" s="292">
        <v>2005</v>
      </c>
      <c r="D3" s="292">
        <f>C3+1</f>
        <v>2006</v>
      </c>
      <c r="E3" s="292">
        <f t="shared" ref="E3:T3" si="0">D3+1</f>
        <v>2007</v>
      </c>
      <c r="F3" s="292">
        <f t="shared" si="0"/>
        <v>2008</v>
      </c>
      <c r="G3" s="292">
        <f t="shared" si="0"/>
        <v>2009</v>
      </c>
      <c r="H3" s="292">
        <f t="shared" si="0"/>
        <v>2010</v>
      </c>
      <c r="I3" s="292">
        <f t="shared" si="0"/>
        <v>2011</v>
      </c>
      <c r="J3" s="292">
        <f t="shared" si="0"/>
        <v>2012</v>
      </c>
      <c r="K3" s="292">
        <f t="shared" si="0"/>
        <v>2013</v>
      </c>
      <c r="L3" s="292">
        <f t="shared" si="0"/>
        <v>2014</v>
      </c>
      <c r="M3" s="292">
        <f t="shared" si="0"/>
        <v>2015</v>
      </c>
      <c r="N3" s="292">
        <f t="shared" si="0"/>
        <v>2016</v>
      </c>
      <c r="O3" s="292">
        <f t="shared" si="0"/>
        <v>2017</v>
      </c>
      <c r="P3" s="292">
        <f t="shared" si="0"/>
        <v>2018</v>
      </c>
      <c r="Q3" s="292">
        <f t="shared" si="0"/>
        <v>2019</v>
      </c>
      <c r="R3" s="292">
        <f t="shared" si="0"/>
        <v>2020</v>
      </c>
      <c r="S3" s="292">
        <f t="shared" si="0"/>
        <v>2021</v>
      </c>
      <c r="T3" s="292">
        <f t="shared" si="0"/>
        <v>2022</v>
      </c>
      <c r="U3" s="511">
        <v>2023</v>
      </c>
      <c r="W3" s="67">
        <f>T3+1</f>
        <v>2023</v>
      </c>
      <c r="X3" s="66" t="s">
        <v>100</v>
      </c>
    </row>
    <row r="4" spans="1:74" ht="16">
      <c r="B4" s="313" t="s">
        <v>1</v>
      </c>
      <c r="C4" s="314" t="s">
        <v>99</v>
      </c>
      <c r="D4" s="314"/>
      <c r="E4" s="178">
        <v>532563.6</v>
      </c>
      <c r="F4" s="178">
        <v>539825.4</v>
      </c>
      <c r="G4" s="178">
        <v>590592</v>
      </c>
      <c r="H4" s="315">
        <v>523620.4</v>
      </c>
      <c r="I4" s="178">
        <v>473268.9</v>
      </c>
      <c r="J4" s="178">
        <v>461172.4</v>
      </c>
      <c r="K4" s="178">
        <v>449662</v>
      </c>
      <c r="L4" s="178">
        <v>421299.9</v>
      </c>
      <c r="M4" s="178">
        <v>419154.8</v>
      </c>
      <c r="N4" s="178">
        <v>404790.8</v>
      </c>
      <c r="O4" s="178">
        <v>477360</v>
      </c>
      <c r="P4" s="178">
        <v>466318.1</v>
      </c>
      <c r="Q4" s="178">
        <v>521729.8</v>
      </c>
      <c r="R4" s="178">
        <v>497089.9</v>
      </c>
      <c r="S4" s="178">
        <v>370349.9</v>
      </c>
      <c r="T4" s="507">
        <v>560706.6</v>
      </c>
      <c r="U4" s="514">
        <v>444613</v>
      </c>
      <c r="X4" s="20">
        <f t="shared" ref="X4:X25" si="1">T4/AVERAGE(H4:P4)</f>
        <v>1.2318266695792923</v>
      </c>
    </row>
    <row r="5" spans="1:74" ht="16">
      <c r="B5" s="188" t="s">
        <v>265</v>
      </c>
      <c r="C5" s="74">
        <v>314466.8</v>
      </c>
      <c r="D5" s="74">
        <v>309749</v>
      </c>
      <c r="E5" s="74">
        <v>259029.7</v>
      </c>
      <c r="F5" s="74">
        <v>284351.2</v>
      </c>
      <c r="G5" s="74">
        <v>319561.3</v>
      </c>
      <c r="H5" s="75">
        <v>322880.90000000002</v>
      </c>
      <c r="I5" s="74">
        <v>329309.40000000002</v>
      </c>
      <c r="J5" s="74">
        <v>289734.59999999998</v>
      </c>
      <c r="K5" s="74">
        <v>254052.4</v>
      </c>
      <c r="L5" s="74">
        <v>233379.3</v>
      </c>
      <c r="M5" s="74">
        <v>242619.6</v>
      </c>
      <c r="N5" s="74">
        <v>209855</v>
      </c>
      <c r="O5" s="74">
        <v>255585.6</v>
      </c>
      <c r="P5" s="74">
        <v>266480.7</v>
      </c>
      <c r="Q5" s="74">
        <v>437120.5</v>
      </c>
      <c r="R5" s="74">
        <v>511268</v>
      </c>
      <c r="S5" s="74">
        <v>198641.3</v>
      </c>
      <c r="T5" s="76">
        <v>273445.3</v>
      </c>
      <c r="U5" s="515">
        <v>271405.2</v>
      </c>
      <c r="X5" s="20">
        <f t="shared" si="1"/>
        <v>1.0237573357433083</v>
      </c>
    </row>
    <row r="6" spans="1:74" ht="16">
      <c r="B6" s="188" t="s">
        <v>7</v>
      </c>
      <c r="C6" s="71">
        <v>350935.6</v>
      </c>
      <c r="D6" s="71">
        <v>337195.8</v>
      </c>
      <c r="E6" s="71">
        <v>375470.9</v>
      </c>
      <c r="F6" s="71">
        <v>374465.6</v>
      </c>
      <c r="G6" s="71">
        <v>359130.4</v>
      </c>
      <c r="H6" s="72">
        <v>342797.5</v>
      </c>
      <c r="I6" s="71">
        <v>318853.3</v>
      </c>
      <c r="J6" s="71">
        <v>315202.40000000002</v>
      </c>
      <c r="K6" s="71">
        <v>274495.90000000002</v>
      </c>
      <c r="L6" s="71">
        <v>252506.3</v>
      </c>
      <c r="M6" s="71">
        <v>290438</v>
      </c>
      <c r="N6" s="71">
        <v>264464</v>
      </c>
      <c r="O6" s="71">
        <v>291065</v>
      </c>
      <c r="P6" s="71">
        <v>301472</v>
      </c>
      <c r="Q6" s="71">
        <v>333995.59999999998</v>
      </c>
      <c r="R6" s="71">
        <v>340872</v>
      </c>
      <c r="S6" s="71">
        <v>242644.3</v>
      </c>
      <c r="T6" s="73">
        <v>352672</v>
      </c>
      <c r="U6" s="515">
        <v>338159.7</v>
      </c>
      <c r="X6" s="20">
        <f t="shared" si="1"/>
        <v>1.1971692015794246</v>
      </c>
    </row>
    <row r="7" spans="1:74" s="32" customFormat="1" ht="16">
      <c r="A7"/>
      <c r="B7" s="188" t="s">
        <v>9</v>
      </c>
      <c r="C7" s="72">
        <v>215760.3</v>
      </c>
      <c r="D7" s="72">
        <v>217423.2</v>
      </c>
      <c r="E7" s="72">
        <v>216437.6</v>
      </c>
      <c r="F7" s="72">
        <v>256057.1</v>
      </c>
      <c r="G7" s="72">
        <v>200338.9</v>
      </c>
      <c r="H7" s="72">
        <v>139891.20000000001</v>
      </c>
      <c r="I7" s="72">
        <v>128200.3</v>
      </c>
      <c r="J7" s="72">
        <v>124730</v>
      </c>
      <c r="K7" s="72">
        <v>105902.5</v>
      </c>
      <c r="L7" s="72">
        <v>95161.4</v>
      </c>
      <c r="M7" s="72">
        <v>102060.1</v>
      </c>
      <c r="N7" s="72">
        <v>94546.3</v>
      </c>
      <c r="O7" s="72">
        <v>137005.70000000001</v>
      </c>
      <c r="P7" s="72">
        <v>111641.9</v>
      </c>
      <c r="Q7" s="72">
        <v>103870.39999999999</v>
      </c>
      <c r="R7" s="72">
        <v>121599.5</v>
      </c>
      <c r="S7" s="72">
        <v>73415.100000000006</v>
      </c>
      <c r="T7" s="508">
        <v>110953.7</v>
      </c>
      <c r="U7" s="515">
        <v>209909</v>
      </c>
      <c r="V7"/>
      <c r="W7"/>
      <c r="X7" s="34">
        <f t="shared" si="1"/>
        <v>0.96097145387808414</v>
      </c>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row>
    <row r="8" spans="1:74" ht="16">
      <c r="B8" s="188" t="s">
        <v>11</v>
      </c>
      <c r="C8" s="71">
        <v>312771</v>
      </c>
      <c r="D8" s="71">
        <v>282627</v>
      </c>
      <c r="E8" s="71">
        <v>255272</v>
      </c>
      <c r="F8" s="71">
        <v>257901.4</v>
      </c>
      <c r="G8" s="71">
        <v>266605.2</v>
      </c>
      <c r="H8" s="72">
        <v>279287.3</v>
      </c>
      <c r="I8" s="71">
        <v>280105.2</v>
      </c>
      <c r="J8" s="71">
        <v>236085.7</v>
      </c>
      <c r="K8" s="71">
        <v>226700</v>
      </c>
      <c r="L8" s="71">
        <v>211790</v>
      </c>
      <c r="M8" s="71">
        <v>215107.7</v>
      </c>
      <c r="N8" s="71">
        <v>220485.2</v>
      </c>
      <c r="O8" s="71">
        <v>256208.2</v>
      </c>
      <c r="P8" s="71">
        <v>282516.90000000002</v>
      </c>
      <c r="Q8" s="71">
        <v>320018.40000000002</v>
      </c>
      <c r="R8" s="71">
        <v>252285</v>
      </c>
      <c r="S8" s="71">
        <v>205989.3</v>
      </c>
      <c r="T8" s="73">
        <v>297072</v>
      </c>
      <c r="U8" s="515">
        <v>294775.90000000002</v>
      </c>
      <c r="X8" s="20">
        <f t="shared" si="1"/>
        <v>1.2107343694852597</v>
      </c>
    </row>
    <row r="9" spans="1:74" ht="16">
      <c r="B9" s="188" t="s">
        <v>13</v>
      </c>
      <c r="C9" s="71">
        <v>520278.9</v>
      </c>
      <c r="D9" s="71">
        <v>518853.9</v>
      </c>
      <c r="E9" s="71">
        <v>481047.9</v>
      </c>
      <c r="F9" s="71">
        <v>519751.9</v>
      </c>
      <c r="G9" s="71">
        <v>522155.7</v>
      </c>
      <c r="H9" s="72">
        <v>484482.2</v>
      </c>
      <c r="I9" s="71">
        <v>449467.6</v>
      </c>
      <c r="J9" s="71">
        <v>448186.6</v>
      </c>
      <c r="K9" s="71">
        <v>399172.4</v>
      </c>
      <c r="L9" s="71">
        <v>326585.09999999998</v>
      </c>
      <c r="M9" s="71">
        <v>367997.1</v>
      </c>
      <c r="N9" s="71">
        <v>361728</v>
      </c>
      <c r="O9" s="71">
        <v>402172.2</v>
      </c>
      <c r="P9" s="71">
        <v>508661.7</v>
      </c>
      <c r="Q9" s="71">
        <v>483806.2</v>
      </c>
      <c r="R9" s="71">
        <v>396916.3</v>
      </c>
      <c r="S9" s="71">
        <v>304766.90000000002</v>
      </c>
      <c r="T9" s="73">
        <v>351315.8</v>
      </c>
      <c r="U9" s="515">
        <v>226074.4</v>
      </c>
      <c r="X9" s="20">
        <f t="shared" si="1"/>
        <v>0.84350591680103526</v>
      </c>
    </row>
    <row r="10" spans="1:74" s="32" customFormat="1" ht="16">
      <c r="A10"/>
      <c r="B10" s="188" t="s">
        <v>15</v>
      </c>
      <c r="C10" s="72">
        <v>330152</v>
      </c>
      <c r="D10" s="72">
        <v>301427.59999999998</v>
      </c>
      <c r="E10" s="72">
        <v>279136</v>
      </c>
      <c r="F10" s="72">
        <v>286067</v>
      </c>
      <c r="G10" s="72">
        <v>266659.40000000002</v>
      </c>
      <c r="H10" s="72">
        <v>307224.7</v>
      </c>
      <c r="I10" s="72">
        <v>301978.3</v>
      </c>
      <c r="J10" s="72">
        <v>258091.4</v>
      </c>
      <c r="K10" s="72">
        <v>222944.1</v>
      </c>
      <c r="L10" s="72">
        <v>218530.9</v>
      </c>
      <c r="M10" s="72">
        <v>275632</v>
      </c>
      <c r="N10" s="72">
        <v>253048</v>
      </c>
      <c r="O10" s="72">
        <v>261065.8</v>
      </c>
      <c r="P10" s="72">
        <v>165456.79999999999</v>
      </c>
      <c r="Q10" s="72">
        <v>228619.7</v>
      </c>
      <c r="R10" s="72">
        <v>355793.9</v>
      </c>
      <c r="S10" s="72">
        <v>229166.9</v>
      </c>
      <c r="T10" s="508">
        <v>360160</v>
      </c>
      <c r="U10" s="515">
        <f>AVERAGE(S10:T10)</f>
        <v>294663.45</v>
      </c>
      <c r="V10"/>
      <c r="W10"/>
      <c r="X10" s="34">
        <f t="shared" si="1"/>
        <v>1.4317491559082889</v>
      </c>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row>
    <row r="11" spans="1:74" s="32" customFormat="1" ht="16">
      <c r="A11"/>
      <c r="B11" s="188" t="s">
        <v>17</v>
      </c>
      <c r="C11" s="72">
        <v>283760.2</v>
      </c>
      <c r="D11" s="72">
        <v>295918.59999999998</v>
      </c>
      <c r="E11" s="72">
        <v>278884.8</v>
      </c>
      <c r="F11" s="72">
        <v>298551.2</v>
      </c>
      <c r="G11" s="72">
        <v>280048.2</v>
      </c>
      <c r="H11" s="72">
        <v>308359.7</v>
      </c>
      <c r="I11" s="72">
        <v>312181.5</v>
      </c>
      <c r="J11" s="72">
        <v>269014.5</v>
      </c>
      <c r="K11" s="72">
        <v>255133.3</v>
      </c>
      <c r="L11" s="72">
        <v>234362.7</v>
      </c>
      <c r="M11" s="72">
        <v>241484.5</v>
      </c>
      <c r="N11" s="72">
        <v>220261</v>
      </c>
      <c r="O11" s="72">
        <v>253231.1</v>
      </c>
      <c r="P11" s="72">
        <v>248471.3</v>
      </c>
      <c r="Q11" s="72">
        <v>258119.3</v>
      </c>
      <c r="R11" s="72">
        <v>227701.4</v>
      </c>
      <c r="S11" s="72">
        <v>169244.1</v>
      </c>
      <c r="T11" s="508">
        <v>233674.7</v>
      </c>
      <c r="U11" s="515">
        <v>265571.7</v>
      </c>
      <c r="V11"/>
      <c r="W11"/>
      <c r="X11" s="34">
        <f t="shared" si="1"/>
        <v>0.89778982246144245</v>
      </c>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row>
    <row r="12" spans="1:74" s="32" customFormat="1" ht="16">
      <c r="A12"/>
      <c r="B12" s="188" t="s">
        <v>19</v>
      </c>
      <c r="C12" s="75">
        <v>228168.3</v>
      </c>
      <c r="D12" s="75">
        <v>234944</v>
      </c>
      <c r="E12" s="75">
        <v>237884.79999999999</v>
      </c>
      <c r="F12" s="75">
        <v>258301.4</v>
      </c>
      <c r="G12" s="75">
        <v>249443.4</v>
      </c>
      <c r="H12" s="75">
        <v>255130.6</v>
      </c>
      <c r="I12" s="75">
        <v>277131.59999999998</v>
      </c>
      <c r="J12" s="75">
        <v>237191.6</v>
      </c>
      <c r="K12" s="75">
        <v>180818.7</v>
      </c>
      <c r="L12" s="75">
        <v>176006.2</v>
      </c>
      <c r="M12" s="75">
        <v>180198.6</v>
      </c>
      <c r="N12" s="75">
        <v>159105.20000000001</v>
      </c>
      <c r="O12" s="75">
        <v>184635.7</v>
      </c>
      <c r="P12" s="75">
        <v>206344.6</v>
      </c>
      <c r="Q12" s="75">
        <v>183142.1</v>
      </c>
      <c r="R12" s="75">
        <v>170589.3</v>
      </c>
      <c r="S12" s="75">
        <v>140736</v>
      </c>
      <c r="T12" s="509">
        <v>219994.6</v>
      </c>
      <c r="U12" s="515">
        <v>238110.4</v>
      </c>
      <c r="V12"/>
      <c r="W12"/>
      <c r="X12" s="34">
        <f t="shared" si="1"/>
        <v>1.0664607736404068</v>
      </c>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row>
    <row r="13" spans="1:74" ht="16">
      <c r="B13" s="188" t="s">
        <v>21</v>
      </c>
      <c r="C13" s="71">
        <v>311278</v>
      </c>
      <c r="D13" s="71">
        <v>301547.59999999998</v>
      </c>
      <c r="E13" s="71">
        <v>302082.40000000002</v>
      </c>
      <c r="F13" s="71">
        <v>301331.90000000002</v>
      </c>
      <c r="G13" s="71">
        <v>314840.7</v>
      </c>
      <c r="H13" s="72">
        <v>312116.3</v>
      </c>
      <c r="I13" s="71">
        <v>322192</v>
      </c>
      <c r="J13" s="71">
        <v>329525.3</v>
      </c>
      <c r="K13" s="71">
        <v>310832</v>
      </c>
      <c r="L13" s="71">
        <v>273039.3</v>
      </c>
      <c r="M13" s="71">
        <v>272747.8</v>
      </c>
      <c r="N13" s="71">
        <v>267018.7</v>
      </c>
      <c r="O13" s="71">
        <v>249618.5</v>
      </c>
      <c r="P13" s="71">
        <v>234025.60000000001</v>
      </c>
      <c r="Q13" s="71">
        <v>185678.5</v>
      </c>
      <c r="R13" s="71">
        <v>210424.2</v>
      </c>
      <c r="S13" s="71">
        <v>237692.5</v>
      </c>
      <c r="T13" s="71">
        <v>197595.2</v>
      </c>
      <c r="U13" s="515">
        <v>148725.79999999999</v>
      </c>
      <c r="X13" s="20">
        <f t="shared" si="1"/>
        <v>0.69166741050722913</v>
      </c>
    </row>
    <row r="14" spans="1:74" ht="16">
      <c r="B14" s="188" t="s">
        <v>23</v>
      </c>
      <c r="C14" s="74">
        <v>311676</v>
      </c>
      <c r="D14" s="74">
        <v>331103.40000000002</v>
      </c>
      <c r="E14" s="74">
        <v>288744.59999999998</v>
      </c>
      <c r="F14" s="74">
        <v>322270.3</v>
      </c>
      <c r="G14" s="74">
        <v>304967</v>
      </c>
      <c r="H14" s="75">
        <v>336649.4</v>
      </c>
      <c r="I14" s="74">
        <v>320902</v>
      </c>
      <c r="J14" s="74">
        <v>278344.3</v>
      </c>
      <c r="K14" s="74">
        <v>234072.2</v>
      </c>
      <c r="L14" s="74">
        <v>239166.4</v>
      </c>
      <c r="M14" s="74">
        <v>241842.1</v>
      </c>
      <c r="N14" s="74">
        <v>214206.5</v>
      </c>
      <c r="O14" s="74">
        <v>299558.59999999998</v>
      </c>
      <c r="P14" s="74">
        <v>264242.5</v>
      </c>
      <c r="Q14" s="74">
        <v>255213.7</v>
      </c>
      <c r="R14" s="74">
        <v>239012.5</v>
      </c>
      <c r="S14" s="74">
        <v>167640</v>
      </c>
      <c r="T14" s="76">
        <v>313752</v>
      </c>
      <c r="U14" s="515">
        <v>316934.09999999998</v>
      </c>
      <c r="X14" s="20">
        <f t="shared" si="1"/>
        <v>1.1625305065821758</v>
      </c>
    </row>
    <row r="15" spans="1:74" ht="16">
      <c r="B15" s="188" t="s">
        <v>25</v>
      </c>
      <c r="C15" s="74">
        <v>229439</v>
      </c>
      <c r="D15" s="74">
        <v>245465</v>
      </c>
      <c r="E15" s="74">
        <v>308911.90000000002</v>
      </c>
      <c r="F15" s="74">
        <v>297347.09999999998</v>
      </c>
      <c r="G15" s="74">
        <v>285802.90000000002</v>
      </c>
      <c r="H15" s="75">
        <v>294884.3</v>
      </c>
      <c r="I15" s="74">
        <v>285672.3</v>
      </c>
      <c r="J15" s="74">
        <v>253445.3</v>
      </c>
      <c r="K15" s="74">
        <v>238809.4</v>
      </c>
      <c r="L15" s="74">
        <v>240220.7</v>
      </c>
      <c r="M15" s="74">
        <v>257452.2</v>
      </c>
      <c r="N15" s="74">
        <v>223112.4</v>
      </c>
      <c r="O15" s="74">
        <v>192455.3</v>
      </c>
      <c r="P15" s="74">
        <v>221772.2</v>
      </c>
      <c r="Q15" s="74">
        <v>235199.4</v>
      </c>
      <c r="R15" s="74">
        <v>198682.6</v>
      </c>
      <c r="S15" s="74">
        <v>137173.29999999999</v>
      </c>
      <c r="T15" s="76">
        <v>177456</v>
      </c>
      <c r="U15" s="515">
        <v>154139.5</v>
      </c>
      <c r="X15" s="20">
        <f t="shared" si="1"/>
        <v>0.72338371521535627</v>
      </c>
    </row>
    <row r="16" spans="1:74" ht="16">
      <c r="B16" s="188" t="s">
        <v>27</v>
      </c>
      <c r="C16" s="74">
        <v>355208.9</v>
      </c>
      <c r="D16" s="74">
        <v>348156</v>
      </c>
      <c r="E16" s="74">
        <v>356316.6</v>
      </c>
      <c r="F16" s="74">
        <v>361335.1</v>
      </c>
      <c r="G16" s="74">
        <v>411083.1</v>
      </c>
      <c r="H16" s="75">
        <v>399865.9</v>
      </c>
      <c r="I16" s="74">
        <v>408476.8</v>
      </c>
      <c r="J16" s="74">
        <v>351046</v>
      </c>
      <c r="K16" s="74">
        <v>309586.2</v>
      </c>
      <c r="L16" s="74">
        <v>302140</v>
      </c>
      <c r="M16" s="74">
        <v>316191.2</v>
      </c>
      <c r="N16" s="74">
        <v>286128.7</v>
      </c>
      <c r="O16" s="74">
        <v>351645.8</v>
      </c>
      <c r="P16" s="74">
        <v>468699.8</v>
      </c>
      <c r="Q16" s="74">
        <v>506349.6</v>
      </c>
      <c r="R16" s="74">
        <v>448715.3</v>
      </c>
      <c r="S16" s="74">
        <v>357506.2</v>
      </c>
      <c r="T16" s="74">
        <v>482643.7</v>
      </c>
      <c r="U16" s="515">
        <v>470081.2</v>
      </c>
      <c r="X16" s="20">
        <f t="shared" si="1"/>
        <v>1.3600788895817635</v>
      </c>
    </row>
    <row r="17" spans="1:74" s="32" customFormat="1" ht="16">
      <c r="A17"/>
      <c r="B17" s="188" t="s">
        <v>29</v>
      </c>
      <c r="C17" s="72">
        <v>303131</v>
      </c>
      <c r="D17" s="72">
        <v>285146.5</v>
      </c>
      <c r="E17" s="72">
        <v>257928.5</v>
      </c>
      <c r="F17" s="72">
        <v>265587.3</v>
      </c>
      <c r="G17" s="72">
        <v>271977.3</v>
      </c>
      <c r="H17" s="72">
        <v>247203.7</v>
      </c>
      <c r="I17" s="72">
        <v>255222.8</v>
      </c>
      <c r="J17" s="72">
        <v>257650.1</v>
      </c>
      <c r="K17" s="72">
        <v>216474.1</v>
      </c>
      <c r="L17" s="72">
        <v>205730.5</v>
      </c>
      <c r="M17" s="72">
        <v>197497</v>
      </c>
      <c r="N17" s="72">
        <v>175702.9</v>
      </c>
      <c r="O17" s="72">
        <v>206347.2</v>
      </c>
      <c r="P17" s="72">
        <v>211341.3</v>
      </c>
      <c r="Q17" s="72">
        <v>206064.8</v>
      </c>
      <c r="R17" s="72">
        <v>194608.5</v>
      </c>
      <c r="S17" s="72">
        <v>147804</v>
      </c>
      <c r="T17" s="508">
        <v>205251.3</v>
      </c>
      <c r="U17" s="515">
        <v>198517.2</v>
      </c>
      <c r="V17"/>
      <c r="W17"/>
      <c r="X17" s="34">
        <f t="shared" si="1"/>
        <v>0.93619002644273464</v>
      </c>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row>
    <row r="18" spans="1:74" ht="16">
      <c r="B18" s="188" t="s">
        <v>31</v>
      </c>
      <c r="C18" s="74">
        <v>339665.9</v>
      </c>
      <c r="D18" s="74">
        <v>358261.3</v>
      </c>
      <c r="E18" s="74">
        <v>368541.6</v>
      </c>
      <c r="F18" s="74">
        <v>381014.8</v>
      </c>
      <c r="G18" s="74">
        <v>416469.7</v>
      </c>
      <c r="H18" s="75">
        <v>414821.1</v>
      </c>
      <c r="I18" s="74">
        <v>419380.9</v>
      </c>
      <c r="J18" s="74">
        <v>358239.6</v>
      </c>
      <c r="K18" s="74">
        <v>307659.40000000002</v>
      </c>
      <c r="L18" s="74">
        <v>295027.8</v>
      </c>
      <c r="M18" s="74">
        <v>303669.90000000002</v>
      </c>
      <c r="N18" s="74">
        <v>290694.2</v>
      </c>
      <c r="O18" s="74">
        <v>243102.8</v>
      </c>
      <c r="P18" s="74">
        <v>232968.8</v>
      </c>
      <c r="Q18" s="74">
        <v>262720.7</v>
      </c>
      <c r="R18" s="74">
        <v>272544</v>
      </c>
      <c r="S18" s="74">
        <v>241824</v>
      </c>
      <c r="T18" s="76">
        <v>326951.90000000002</v>
      </c>
      <c r="U18" s="515">
        <v>281581.59999999998</v>
      </c>
      <c r="X18" s="20">
        <f t="shared" si="1"/>
        <v>1.0268717036381487</v>
      </c>
    </row>
    <row r="19" spans="1:74" ht="16">
      <c r="B19" s="188" t="s">
        <v>33</v>
      </c>
      <c r="C19" s="74">
        <v>615786.5</v>
      </c>
      <c r="D19" s="74">
        <v>680475.6</v>
      </c>
      <c r="E19" s="74">
        <v>626506.19999999995</v>
      </c>
      <c r="F19" s="74">
        <v>657926.40000000002</v>
      </c>
      <c r="G19" s="74">
        <v>650219.9</v>
      </c>
      <c r="H19" s="75">
        <v>639160.6</v>
      </c>
      <c r="I19" s="74">
        <v>621365.1</v>
      </c>
      <c r="J19" s="74">
        <v>611939</v>
      </c>
      <c r="K19" s="74">
        <v>539987.69999999995</v>
      </c>
      <c r="L19" s="74">
        <v>566959.5</v>
      </c>
      <c r="M19" s="74">
        <v>626767.69999999995</v>
      </c>
      <c r="N19" s="74">
        <v>539381.5</v>
      </c>
      <c r="O19" s="74">
        <v>625776.6</v>
      </c>
      <c r="P19" s="74">
        <v>492205.5</v>
      </c>
      <c r="Q19" s="74">
        <v>522584</v>
      </c>
      <c r="R19" s="74">
        <v>444210.8</v>
      </c>
      <c r="S19" s="74">
        <v>341238.6</v>
      </c>
      <c r="T19" s="76">
        <v>492380.6</v>
      </c>
      <c r="U19" s="515">
        <v>464105.6</v>
      </c>
      <c r="X19" s="20">
        <f t="shared" si="1"/>
        <v>0.8419091915119078</v>
      </c>
    </row>
    <row r="20" spans="1:74" ht="16">
      <c r="B20" s="188" t="s">
        <v>74</v>
      </c>
      <c r="C20" s="74">
        <v>689092.9</v>
      </c>
      <c r="D20" s="74">
        <v>702004.9</v>
      </c>
      <c r="E20" s="74">
        <v>644399.9</v>
      </c>
      <c r="F20" s="74">
        <v>638133.69999999995</v>
      </c>
      <c r="G20" s="74">
        <v>607016.1</v>
      </c>
      <c r="H20" s="75">
        <v>611924.1</v>
      </c>
      <c r="I20" s="74">
        <v>541931</v>
      </c>
      <c r="J20" s="74">
        <v>518011.4</v>
      </c>
      <c r="K20" s="74">
        <v>493666.6</v>
      </c>
      <c r="L20" s="74">
        <v>468189.2</v>
      </c>
      <c r="M20" s="74">
        <v>514480.5</v>
      </c>
      <c r="N20" s="74">
        <v>539046.80000000005</v>
      </c>
      <c r="O20" s="74">
        <v>629551.6</v>
      </c>
      <c r="P20" s="74">
        <v>419291.8</v>
      </c>
      <c r="Q20" s="74">
        <v>223903.7</v>
      </c>
      <c r="R20" s="74">
        <v>182768</v>
      </c>
      <c r="S20" s="74">
        <v>32360</v>
      </c>
      <c r="T20" s="76">
        <v>189898.7</v>
      </c>
      <c r="U20" s="515">
        <v>213347.8</v>
      </c>
      <c r="X20" s="20">
        <f t="shared" si="1"/>
        <v>0.36086459873148613</v>
      </c>
    </row>
    <row r="21" spans="1:74" s="32" customFormat="1" ht="16">
      <c r="A21"/>
      <c r="B21" s="188" t="s">
        <v>36</v>
      </c>
      <c r="C21" s="75">
        <v>252946</v>
      </c>
      <c r="D21" s="75">
        <v>260025.60000000001</v>
      </c>
      <c r="E21" s="75">
        <v>243136</v>
      </c>
      <c r="F21" s="75">
        <v>267954.09999999998</v>
      </c>
      <c r="G21" s="75">
        <v>306217</v>
      </c>
      <c r="H21" s="75">
        <v>283369</v>
      </c>
      <c r="I21" s="75">
        <v>288224</v>
      </c>
      <c r="J21" s="75">
        <v>252024</v>
      </c>
      <c r="K21" s="75">
        <v>196386.1</v>
      </c>
      <c r="L21" s="75">
        <v>200085.6</v>
      </c>
      <c r="M21" s="75">
        <v>202235.7</v>
      </c>
      <c r="N21" s="75">
        <v>371093</v>
      </c>
      <c r="O21" s="75">
        <v>263896.7</v>
      </c>
      <c r="P21" s="75">
        <v>260141.2</v>
      </c>
      <c r="Q21" s="75">
        <v>275974.90000000002</v>
      </c>
      <c r="R21" s="75">
        <v>262504.8</v>
      </c>
      <c r="S21" s="75">
        <v>230681.4</v>
      </c>
      <c r="T21" s="509">
        <v>284253.8</v>
      </c>
      <c r="U21" s="515">
        <v>278764.09999999998</v>
      </c>
      <c r="V21"/>
      <c r="W21"/>
      <c r="X21" s="34">
        <f t="shared" si="1"/>
        <v>1.103919544855946</v>
      </c>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row>
    <row r="22" spans="1:74" ht="16">
      <c r="B22" s="188" t="s">
        <v>67</v>
      </c>
      <c r="C22" s="74">
        <v>274090.40000000002</v>
      </c>
      <c r="D22" s="74">
        <v>270944</v>
      </c>
      <c r="E22" s="74">
        <v>252833.6</v>
      </c>
      <c r="F22" s="74">
        <v>262104.8</v>
      </c>
      <c r="G22" s="74">
        <v>282815.7</v>
      </c>
      <c r="H22" s="75">
        <v>282690.5</v>
      </c>
      <c r="I22" s="74">
        <v>282531.3</v>
      </c>
      <c r="J22" s="74">
        <v>234461.2</v>
      </c>
      <c r="K22" s="74">
        <v>184756.3</v>
      </c>
      <c r="L22" s="74">
        <v>197555.20000000001</v>
      </c>
      <c r="M22" s="74">
        <v>248546.9</v>
      </c>
      <c r="N22" s="74">
        <v>310329.7</v>
      </c>
      <c r="O22" s="74">
        <v>373694.5</v>
      </c>
      <c r="P22" s="74">
        <v>351013.5</v>
      </c>
      <c r="Q22" s="74">
        <v>292674.2</v>
      </c>
      <c r="R22" s="74">
        <v>270963.09999999998</v>
      </c>
      <c r="S22" s="74">
        <v>255344</v>
      </c>
      <c r="T22" s="76">
        <v>400656.5</v>
      </c>
      <c r="U22" s="515">
        <v>245369.7</v>
      </c>
      <c r="X22" s="20">
        <f t="shared" si="1"/>
        <v>1.4624996212857257</v>
      </c>
    </row>
    <row r="23" spans="1:74" s="32" customFormat="1" ht="16">
      <c r="A23"/>
      <c r="B23" s="188" t="s">
        <v>39</v>
      </c>
      <c r="C23" s="75">
        <v>320743.90000000002</v>
      </c>
      <c r="D23" s="75">
        <v>347396</v>
      </c>
      <c r="E23" s="75">
        <v>289725.59999999998</v>
      </c>
      <c r="F23" s="75">
        <v>305080</v>
      </c>
      <c r="G23" s="75">
        <v>342312.7</v>
      </c>
      <c r="H23" s="75">
        <v>309436.7</v>
      </c>
      <c r="I23" s="75">
        <v>316178.90000000002</v>
      </c>
      <c r="J23" s="75">
        <v>301820.3</v>
      </c>
      <c r="K23" s="75">
        <v>266571.2</v>
      </c>
      <c r="L23" s="75">
        <v>221952.9</v>
      </c>
      <c r="M23" s="75">
        <v>245415.8</v>
      </c>
      <c r="N23" s="75">
        <v>240160.2</v>
      </c>
      <c r="O23" s="75">
        <v>263646</v>
      </c>
      <c r="P23" s="75">
        <v>238412.7</v>
      </c>
      <c r="Q23" s="75">
        <v>271167.7</v>
      </c>
      <c r="R23" s="75">
        <v>232415.2</v>
      </c>
      <c r="S23" s="75">
        <v>173620.3</v>
      </c>
      <c r="T23" s="509">
        <v>217232</v>
      </c>
      <c r="U23" s="515">
        <v>196525.1</v>
      </c>
      <c r="V23"/>
      <c r="W23"/>
      <c r="X23" s="34">
        <f t="shared" si="1"/>
        <v>0.81340169372149129</v>
      </c>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row>
    <row r="24" spans="1:74" ht="16">
      <c r="B24" s="188" t="s">
        <v>41</v>
      </c>
      <c r="C24" s="74">
        <v>226938.6</v>
      </c>
      <c r="D24" s="74">
        <v>222228</v>
      </c>
      <c r="E24" s="74">
        <v>232763.6</v>
      </c>
      <c r="F24" s="74">
        <v>234749.1</v>
      </c>
      <c r="G24" s="74">
        <v>286007.2</v>
      </c>
      <c r="H24" s="75">
        <v>294400</v>
      </c>
      <c r="I24" s="74">
        <v>260960</v>
      </c>
      <c r="J24" s="74">
        <v>224044.1</v>
      </c>
      <c r="K24" s="74">
        <v>197738.7</v>
      </c>
      <c r="L24" s="74">
        <v>193577.1</v>
      </c>
      <c r="M24" s="74">
        <v>197710</v>
      </c>
      <c r="N24" s="74">
        <v>201983.3</v>
      </c>
      <c r="O24" s="74">
        <v>224166.6</v>
      </c>
      <c r="P24" s="74">
        <v>231752.4</v>
      </c>
      <c r="Q24" s="74">
        <v>218307.6</v>
      </c>
      <c r="R24" s="74">
        <v>203300</v>
      </c>
      <c r="S24" s="74">
        <v>159600</v>
      </c>
      <c r="T24" s="76">
        <v>259839.9</v>
      </c>
      <c r="U24" s="515">
        <v>253776.6</v>
      </c>
      <c r="X24" s="20">
        <f t="shared" si="1"/>
        <v>1.1540847547109994</v>
      </c>
    </row>
    <row r="25" spans="1:74" ht="16">
      <c r="B25" s="188" t="s">
        <v>44</v>
      </c>
      <c r="C25" s="74">
        <v>291060</v>
      </c>
      <c r="D25" s="74">
        <v>298504.09999999998</v>
      </c>
      <c r="E25" s="74">
        <v>340959.4</v>
      </c>
      <c r="F25" s="74">
        <v>329036.40000000002</v>
      </c>
      <c r="G25" s="74">
        <v>369359.4</v>
      </c>
      <c r="H25" s="75">
        <v>351756.9</v>
      </c>
      <c r="I25" s="74">
        <v>338322.8</v>
      </c>
      <c r="J25" s="74">
        <v>319040.7</v>
      </c>
      <c r="K25" s="74">
        <v>259372.6</v>
      </c>
      <c r="L25" s="74">
        <v>260017.1</v>
      </c>
      <c r="M25" s="74">
        <v>277786.3</v>
      </c>
      <c r="N25" s="74">
        <v>245483</v>
      </c>
      <c r="O25" s="74">
        <v>292245.59999999998</v>
      </c>
      <c r="P25" s="74">
        <v>376770</v>
      </c>
      <c r="Q25" s="74">
        <v>371150.9</v>
      </c>
      <c r="R25" s="74">
        <v>318669</v>
      </c>
      <c r="S25" s="74">
        <v>226860</v>
      </c>
      <c r="T25" s="76">
        <v>390375</v>
      </c>
      <c r="U25" s="515">
        <v>400855.7</v>
      </c>
      <c r="X25" s="20">
        <f t="shared" si="1"/>
        <v>1.2913045635558724</v>
      </c>
    </row>
    <row r="26" spans="1:74" ht="16">
      <c r="B26" s="188" t="s">
        <v>46</v>
      </c>
      <c r="C26" s="70" t="s">
        <v>97</v>
      </c>
      <c r="D26" s="70"/>
      <c r="E26" s="70"/>
      <c r="F26" s="70"/>
      <c r="G26" s="70"/>
      <c r="H26" s="682" t="s">
        <v>97</v>
      </c>
      <c r="I26" s="683"/>
      <c r="J26" s="684"/>
      <c r="K26" s="70"/>
      <c r="L26" s="70"/>
      <c r="M26" s="70"/>
      <c r="N26" s="70"/>
      <c r="O26" s="70"/>
      <c r="P26" s="70"/>
      <c r="Q26" s="70"/>
      <c r="R26" s="70"/>
      <c r="S26" s="70"/>
      <c r="T26" s="70"/>
      <c r="U26" s="70"/>
      <c r="X26" s="20"/>
    </row>
    <row r="27" spans="1:74" ht="16">
      <c r="B27" s="188" t="s">
        <v>49</v>
      </c>
      <c r="C27" s="74">
        <v>1273330.2</v>
      </c>
      <c r="D27" s="74">
        <v>1164509.6000000001</v>
      </c>
      <c r="E27" s="74">
        <v>1140327.8999999999</v>
      </c>
      <c r="F27" s="74">
        <v>1133206.5</v>
      </c>
      <c r="G27" s="74">
        <v>1057944.8999999999</v>
      </c>
      <c r="H27" s="75">
        <v>1039394.9</v>
      </c>
      <c r="I27" s="74">
        <v>957225.9</v>
      </c>
      <c r="J27" s="74">
        <v>899103.9</v>
      </c>
      <c r="K27" s="74">
        <v>785623.9</v>
      </c>
      <c r="L27" s="74">
        <v>728570.9</v>
      </c>
      <c r="M27" s="74">
        <v>818457.4</v>
      </c>
      <c r="N27" s="74">
        <v>826384.9</v>
      </c>
      <c r="O27" s="74">
        <v>945873.1</v>
      </c>
      <c r="P27" s="74">
        <v>970296.6</v>
      </c>
      <c r="Q27" s="74">
        <v>977320.1</v>
      </c>
      <c r="R27" s="74">
        <v>968713.1</v>
      </c>
      <c r="S27" s="74">
        <v>831059.1</v>
      </c>
      <c r="T27" s="76">
        <v>1158274.6000000001</v>
      </c>
      <c r="U27" s="515">
        <v>1108466.8999999999</v>
      </c>
      <c r="X27" s="20">
        <f t="shared" ref="X27:X39" si="2">T27/AVERAGE(H27:P27)</f>
        <v>1.3078109377806095</v>
      </c>
    </row>
    <row r="28" spans="1:74" ht="16">
      <c r="B28" s="188" t="s">
        <v>51</v>
      </c>
      <c r="C28" s="74">
        <v>1421161.4</v>
      </c>
      <c r="D28" s="74">
        <v>1372019.4</v>
      </c>
      <c r="E28" s="74">
        <v>1373093.5</v>
      </c>
      <c r="F28" s="74">
        <v>1297464.6000000001</v>
      </c>
      <c r="G28" s="74">
        <v>1469912.6</v>
      </c>
      <c r="H28" s="75">
        <v>1448276.8</v>
      </c>
      <c r="I28" s="74">
        <v>1507505.4</v>
      </c>
      <c r="J28" s="74">
        <v>1193623.8999999999</v>
      </c>
      <c r="K28" s="74">
        <v>1048498.7</v>
      </c>
      <c r="L28" s="74">
        <v>1013645.4</v>
      </c>
      <c r="M28" s="74">
        <v>1061791.5</v>
      </c>
      <c r="N28" s="74">
        <v>1049861.8999999999</v>
      </c>
      <c r="O28" s="74">
        <v>1172256.2</v>
      </c>
      <c r="P28" s="74">
        <v>1254134.6000000001</v>
      </c>
      <c r="Q28" s="74">
        <v>1310347.5</v>
      </c>
      <c r="R28" s="74">
        <v>1112630.2</v>
      </c>
      <c r="S28" s="74">
        <v>829318</v>
      </c>
      <c r="T28" s="76">
        <v>1234352.8999999999</v>
      </c>
      <c r="U28" s="515">
        <f>AVERAGE(S28:T28)</f>
        <v>1031835.45</v>
      </c>
      <c r="X28" s="20">
        <f t="shared" si="2"/>
        <v>1.033450722568658</v>
      </c>
    </row>
    <row r="29" spans="1:74" ht="16">
      <c r="B29" s="188" t="s">
        <v>53</v>
      </c>
      <c r="C29" s="74">
        <v>887964.6</v>
      </c>
      <c r="D29" s="74">
        <v>956144.2</v>
      </c>
      <c r="E29" s="74">
        <v>1312058.3999999999</v>
      </c>
      <c r="F29" s="74">
        <v>1399713.8</v>
      </c>
      <c r="G29" s="74">
        <v>1274704.1000000001</v>
      </c>
      <c r="H29" s="75">
        <v>1147525.6000000001</v>
      </c>
      <c r="I29" s="74">
        <v>1162119.8999999999</v>
      </c>
      <c r="J29" s="74">
        <v>1119919.8999999999</v>
      </c>
      <c r="K29" s="74">
        <v>977204.9</v>
      </c>
      <c r="L29" s="74">
        <v>879969.8</v>
      </c>
      <c r="M29" s="74">
        <v>851241.2</v>
      </c>
      <c r="N29" s="74">
        <v>951813.8</v>
      </c>
      <c r="O29" s="74">
        <v>1097783.3</v>
      </c>
      <c r="P29" s="74">
        <v>1089262.7</v>
      </c>
      <c r="Q29" s="74">
        <v>1070705.8</v>
      </c>
      <c r="R29" s="74">
        <v>970819.1</v>
      </c>
      <c r="S29" s="74">
        <v>712552.6</v>
      </c>
      <c r="T29" s="76">
        <v>1283793.3</v>
      </c>
      <c r="U29" s="515">
        <v>1389428.7</v>
      </c>
      <c r="X29" s="20">
        <f t="shared" si="2"/>
        <v>1.2454821178299584</v>
      </c>
    </row>
    <row r="30" spans="1:74" ht="16">
      <c r="B30" s="188" t="s">
        <v>55</v>
      </c>
      <c r="C30" s="74">
        <v>1328591.8999999999</v>
      </c>
      <c r="D30" s="74">
        <v>1322764</v>
      </c>
      <c r="E30" s="74">
        <v>1210203.8999999999</v>
      </c>
      <c r="F30" s="74">
        <v>1191870.5</v>
      </c>
      <c r="G30" s="74">
        <v>1132853.1000000001</v>
      </c>
      <c r="H30" s="75">
        <v>1100149</v>
      </c>
      <c r="I30" s="74">
        <v>839106.8</v>
      </c>
      <c r="J30" s="74">
        <v>771261.3</v>
      </c>
      <c r="K30" s="74">
        <v>690459.9</v>
      </c>
      <c r="L30" s="74">
        <v>624387.6</v>
      </c>
      <c r="M30" s="74">
        <v>678384.9</v>
      </c>
      <c r="N30" s="74">
        <v>782607.9</v>
      </c>
      <c r="O30" s="74">
        <v>865749.3</v>
      </c>
      <c r="P30" s="74">
        <v>888438.3</v>
      </c>
      <c r="Q30" s="74">
        <v>816516.3</v>
      </c>
      <c r="R30" s="74">
        <v>711341.9</v>
      </c>
      <c r="S30" s="74">
        <v>549881.19999999995</v>
      </c>
      <c r="T30" s="76">
        <v>972906</v>
      </c>
      <c r="U30" s="515">
        <v>1016223.2</v>
      </c>
      <c r="X30" s="20">
        <f t="shared" si="2"/>
        <v>1.2093225026569132</v>
      </c>
    </row>
    <row r="31" spans="1:74" ht="16">
      <c r="B31" s="188" t="s">
        <v>57</v>
      </c>
      <c r="C31" s="74">
        <v>949506.9</v>
      </c>
      <c r="D31" s="74">
        <v>946348.6</v>
      </c>
      <c r="E31" s="74">
        <v>906338.6</v>
      </c>
      <c r="F31" s="74">
        <v>864056.4</v>
      </c>
      <c r="G31" s="74">
        <v>1109269.2</v>
      </c>
      <c r="H31" s="75">
        <v>977856</v>
      </c>
      <c r="I31" s="74">
        <v>912311.9</v>
      </c>
      <c r="J31" s="74">
        <v>795373.2</v>
      </c>
      <c r="K31" s="74">
        <v>747765.3</v>
      </c>
      <c r="L31" s="74">
        <v>602750.9</v>
      </c>
      <c r="M31" s="74">
        <v>752653.8</v>
      </c>
      <c r="N31" s="74">
        <v>731804</v>
      </c>
      <c r="O31" s="74">
        <v>866724.8</v>
      </c>
      <c r="P31" s="74">
        <v>844683.9</v>
      </c>
      <c r="Q31" s="74">
        <v>862738.8</v>
      </c>
      <c r="R31" s="74">
        <v>786866.8</v>
      </c>
      <c r="S31" s="74">
        <v>680621.8</v>
      </c>
      <c r="T31" s="76">
        <v>1020766.2</v>
      </c>
      <c r="U31" s="515">
        <v>1709933.7</v>
      </c>
      <c r="X31" s="20">
        <f t="shared" si="2"/>
        <v>1.2703253040359745</v>
      </c>
    </row>
    <row r="32" spans="1:74" ht="16">
      <c r="B32" s="188" t="s">
        <v>68</v>
      </c>
      <c r="C32" s="74">
        <v>228266.7</v>
      </c>
      <c r="D32" s="74">
        <v>256106.6</v>
      </c>
      <c r="E32" s="74">
        <v>272702.90000000002</v>
      </c>
      <c r="F32" s="74">
        <v>300609.59999999998</v>
      </c>
      <c r="G32" s="74">
        <v>279919.3</v>
      </c>
      <c r="H32" s="75">
        <v>292927.2</v>
      </c>
      <c r="I32" s="74">
        <v>263602.7</v>
      </c>
      <c r="J32" s="74">
        <v>242937.8</v>
      </c>
      <c r="K32" s="74">
        <v>245012.1</v>
      </c>
      <c r="L32" s="74">
        <v>227700</v>
      </c>
      <c r="M32" s="74">
        <v>246966</v>
      </c>
      <c r="N32" s="74">
        <v>233951.3</v>
      </c>
      <c r="O32" s="74">
        <v>276372.7</v>
      </c>
      <c r="P32" s="74">
        <v>267360</v>
      </c>
      <c r="Q32" s="74">
        <v>285660</v>
      </c>
      <c r="R32" s="74">
        <v>256180</v>
      </c>
      <c r="S32" s="74">
        <v>208463.7</v>
      </c>
      <c r="T32" s="76">
        <v>293074.40000000002</v>
      </c>
      <c r="U32" s="515">
        <v>295552.7</v>
      </c>
      <c r="X32" s="20">
        <f t="shared" si="2"/>
        <v>1.1483957583622437</v>
      </c>
    </row>
    <row r="33" spans="2:24" ht="16">
      <c r="B33" s="188" t="s">
        <v>59</v>
      </c>
      <c r="C33" s="74">
        <v>4214606.5</v>
      </c>
      <c r="D33" s="74">
        <v>4253330.4000000004</v>
      </c>
      <c r="E33" s="74">
        <v>4487304.2</v>
      </c>
      <c r="F33" s="74">
        <v>4620267.9000000004</v>
      </c>
      <c r="G33" s="74">
        <v>4826506.0999999996</v>
      </c>
      <c r="H33" s="75">
        <v>4628479.4000000004</v>
      </c>
      <c r="I33" s="74">
        <v>4497247.5</v>
      </c>
      <c r="J33" s="74">
        <v>3988692.9</v>
      </c>
      <c r="K33" s="74">
        <v>3733727.5</v>
      </c>
      <c r="L33" s="74">
        <v>3704910.2</v>
      </c>
      <c r="M33" s="74">
        <v>3939619.5</v>
      </c>
      <c r="N33" s="74">
        <v>3852287.5</v>
      </c>
      <c r="O33" s="74">
        <v>4413905</v>
      </c>
      <c r="P33" s="74">
        <v>4072953.8</v>
      </c>
      <c r="Q33" s="74">
        <v>4368391.7</v>
      </c>
      <c r="R33" s="74">
        <v>4076912.4</v>
      </c>
      <c r="S33" s="74">
        <v>3166491.5</v>
      </c>
      <c r="T33" s="76">
        <v>4073218.3</v>
      </c>
      <c r="U33" s="515">
        <v>3714444.5</v>
      </c>
      <c r="X33" s="20">
        <f t="shared" si="2"/>
        <v>0.99530681393120179</v>
      </c>
    </row>
    <row r="34" spans="2:24" ht="16">
      <c r="B34" s="188" t="s">
        <v>61</v>
      </c>
      <c r="C34" s="74">
        <v>4227895.7</v>
      </c>
      <c r="D34" s="74">
        <v>4177114.3</v>
      </c>
      <c r="E34" s="74">
        <v>4420321.5</v>
      </c>
      <c r="F34" s="74">
        <v>4502082.4000000004</v>
      </c>
      <c r="G34" s="74">
        <v>4505429.5999999996</v>
      </c>
      <c r="H34" s="75">
        <v>4361036.9000000004</v>
      </c>
      <c r="I34" s="74">
        <v>4109455</v>
      </c>
      <c r="J34" s="74">
        <v>3676982.4</v>
      </c>
      <c r="K34" s="74">
        <v>3579708.6</v>
      </c>
      <c r="L34" s="74">
        <v>3387016.7</v>
      </c>
      <c r="M34" s="74">
        <v>3392778.6</v>
      </c>
      <c r="N34" s="74">
        <v>3290609.5</v>
      </c>
      <c r="O34" s="74">
        <v>3599903.9</v>
      </c>
      <c r="P34" s="74">
        <v>3468410</v>
      </c>
      <c r="Q34" s="74">
        <v>3608318.4</v>
      </c>
      <c r="R34" s="74">
        <v>3348081.5</v>
      </c>
      <c r="S34" s="74">
        <v>2987082.7</v>
      </c>
      <c r="T34" s="76">
        <v>3703844.5</v>
      </c>
      <c r="U34" s="515">
        <v>3814852.6</v>
      </c>
      <c r="X34" s="20">
        <f t="shared" si="2"/>
        <v>1.014260947583437</v>
      </c>
    </row>
    <row r="35" spans="2:24" ht="16">
      <c r="B35" s="188" t="s">
        <v>95</v>
      </c>
      <c r="C35" s="74">
        <v>299649</v>
      </c>
      <c r="D35" s="74">
        <v>274436</v>
      </c>
      <c r="E35" s="74">
        <v>277200</v>
      </c>
      <c r="F35" s="74">
        <v>330740.59999999998</v>
      </c>
      <c r="G35" s="74">
        <v>362795.9</v>
      </c>
      <c r="H35" s="75">
        <v>327048.59999999998</v>
      </c>
      <c r="I35" s="74">
        <v>332844.40000000002</v>
      </c>
      <c r="J35" s="74">
        <v>317789.8</v>
      </c>
      <c r="K35" s="74">
        <v>288703.40000000002</v>
      </c>
      <c r="L35" s="74">
        <v>242525</v>
      </c>
      <c r="M35" s="74">
        <v>287050</v>
      </c>
      <c r="N35" s="74">
        <v>257525</v>
      </c>
      <c r="O35" s="74">
        <v>338684.6</v>
      </c>
      <c r="P35" s="74">
        <v>286461.59999999998</v>
      </c>
      <c r="Q35" s="74">
        <v>284391.7</v>
      </c>
      <c r="R35" s="74">
        <v>268360</v>
      </c>
      <c r="S35" s="74">
        <v>223106.6</v>
      </c>
      <c r="T35" s="76">
        <v>483420.6</v>
      </c>
      <c r="U35" s="515">
        <v>409138.1</v>
      </c>
      <c r="X35" s="20">
        <f t="shared" si="2"/>
        <v>1.6242562435965453</v>
      </c>
    </row>
    <row r="36" spans="2:24" ht="16">
      <c r="B36" s="188" t="s">
        <v>65</v>
      </c>
      <c r="C36" s="70" t="s">
        <v>98</v>
      </c>
      <c r="D36" s="70"/>
      <c r="E36" s="70"/>
      <c r="F36" s="70"/>
      <c r="G36" s="71">
        <v>6375689.4000000004</v>
      </c>
      <c r="H36" s="72">
        <v>6196135.7999999998</v>
      </c>
      <c r="I36" s="71">
        <v>6523793.4000000004</v>
      </c>
      <c r="J36" s="71">
        <v>5884046.5</v>
      </c>
      <c r="K36" s="71">
        <v>6445052.2999999998</v>
      </c>
      <c r="L36" s="71">
        <v>6957893.9000000004</v>
      </c>
      <c r="M36" s="71">
        <v>6632124.7000000002</v>
      </c>
      <c r="N36" s="71">
        <v>6026550.0999999996</v>
      </c>
      <c r="O36" s="71">
        <v>5968843.7000000002</v>
      </c>
      <c r="P36" s="71">
        <v>5298377</v>
      </c>
      <c r="Q36" s="71">
        <v>5664145.5999999996</v>
      </c>
      <c r="R36" s="71">
        <v>5101650.3</v>
      </c>
      <c r="S36" s="71">
        <v>6326244.7000000002</v>
      </c>
      <c r="T36" s="73">
        <v>10723463</v>
      </c>
      <c r="U36" s="515">
        <v>8592925.3000000007</v>
      </c>
      <c r="X36" s="20">
        <f t="shared" si="2"/>
        <v>1.7254837407850654</v>
      </c>
    </row>
    <row r="37" spans="2:24" ht="16">
      <c r="B37" s="188" t="s">
        <v>5</v>
      </c>
      <c r="C37" s="71">
        <v>683845</v>
      </c>
      <c r="D37" s="71">
        <v>743023.2</v>
      </c>
      <c r="E37" s="71">
        <v>807375.9</v>
      </c>
      <c r="F37" s="71">
        <v>844678.3</v>
      </c>
      <c r="G37" s="71">
        <v>952591.5</v>
      </c>
      <c r="H37" s="72">
        <v>1036491</v>
      </c>
      <c r="I37" s="71">
        <v>1041915.4</v>
      </c>
      <c r="J37" s="71">
        <v>1008280.4</v>
      </c>
      <c r="K37" s="71">
        <v>907018.7</v>
      </c>
      <c r="L37" s="71">
        <v>752089.9</v>
      </c>
      <c r="M37" s="71">
        <v>746490.9</v>
      </c>
      <c r="N37" s="71">
        <v>709799.5</v>
      </c>
      <c r="O37" s="71">
        <v>747762</v>
      </c>
      <c r="P37" s="71">
        <v>734776.4</v>
      </c>
      <c r="Q37" s="71">
        <v>759732.8</v>
      </c>
      <c r="R37" s="71">
        <v>683802.6</v>
      </c>
      <c r="S37" s="71">
        <v>610399.9</v>
      </c>
      <c r="T37" s="71">
        <v>655877.30000000005</v>
      </c>
      <c r="U37" s="515">
        <v>679592.1</v>
      </c>
      <c r="X37" s="20">
        <f t="shared" si="2"/>
        <v>0.76814370441172641</v>
      </c>
    </row>
    <row r="38" spans="2:24" ht="17" thickBot="1">
      <c r="B38" s="317" t="s">
        <v>48</v>
      </c>
      <c r="C38" s="80">
        <v>193280.2</v>
      </c>
      <c r="D38" s="80">
        <v>202852.9</v>
      </c>
      <c r="E38" s="80">
        <v>246727.2</v>
      </c>
      <c r="F38" s="80">
        <v>292768.7</v>
      </c>
      <c r="G38" s="80">
        <v>271227.8</v>
      </c>
      <c r="H38" s="81">
        <v>281649.90000000002</v>
      </c>
      <c r="I38" s="80">
        <v>361442</v>
      </c>
      <c r="J38" s="80">
        <v>260690.3</v>
      </c>
      <c r="K38" s="80">
        <v>211698.1</v>
      </c>
      <c r="L38" s="80">
        <v>298917.7</v>
      </c>
      <c r="M38" s="80">
        <v>281376.8</v>
      </c>
      <c r="N38" s="80">
        <v>215129</v>
      </c>
      <c r="O38" s="80">
        <v>244430</v>
      </c>
      <c r="P38" s="80">
        <v>231270.3</v>
      </c>
      <c r="Q38" s="80">
        <v>178536.5</v>
      </c>
      <c r="R38" s="80">
        <v>162419.29999999999</v>
      </c>
      <c r="S38" s="80">
        <v>150717.79999999999</v>
      </c>
      <c r="T38" s="80">
        <v>192647.7</v>
      </c>
      <c r="U38" s="516">
        <v>184792.2</v>
      </c>
      <c r="X38" s="33">
        <f t="shared" si="2"/>
        <v>0.72648383533741534</v>
      </c>
    </row>
    <row r="39" spans="2:24" ht="19">
      <c r="B39" s="237" t="s">
        <v>96</v>
      </c>
      <c r="C39" s="238">
        <f t="shared" ref="C39:T39" si="3">SUM(C4:C38)</f>
        <v>22785448.299999997</v>
      </c>
      <c r="D39" s="238">
        <f t="shared" si="3"/>
        <v>22818046.299999997</v>
      </c>
      <c r="E39" s="238">
        <f t="shared" si="3"/>
        <v>23882231.199999999</v>
      </c>
      <c r="F39" s="238">
        <f t="shared" si="3"/>
        <v>24476602.5</v>
      </c>
      <c r="G39" s="238">
        <f t="shared" si="3"/>
        <v>31522466.699999999</v>
      </c>
      <c r="H39" s="239">
        <f t="shared" si="3"/>
        <v>30578924.099999998</v>
      </c>
      <c r="I39" s="239">
        <f t="shared" si="3"/>
        <v>30040426.299999997</v>
      </c>
      <c r="J39" s="239">
        <f t="shared" si="3"/>
        <v>27087702.800000001</v>
      </c>
      <c r="K39" s="239">
        <f t="shared" si="3"/>
        <v>25785267.200000003</v>
      </c>
      <c r="L39" s="239">
        <f t="shared" si="3"/>
        <v>25253661.099999998</v>
      </c>
      <c r="M39" s="239">
        <f t="shared" si="3"/>
        <v>25925970.800000001</v>
      </c>
      <c r="N39" s="239">
        <f t="shared" si="3"/>
        <v>25020948.800000004</v>
      </c>
      <c r="O39" s="239">
        <f t="shared" si="3"/>
        <v>27272323.699999999</v>
      </c>
      <c r="P39" s="239">
        <f t="shared" si="3"/>
        <v>25966426.5</v>
      </c>
      <c r="Q39" s="239">
        <f t="shared" si="3"/>
        <v>26884216.900000002</v>
      </c>
      <c r="R39" s="239">
        <f t="shared" si="3"/>
        <v>24800710.5</v>
      </c>
      <c r="S39" s="239">
        <f t="shared" si="3"/>
        <v>21920237.699999999</v>
      </c>
      <c r="T39" s="512">
        <f t="shared" si="3"/>
        <v>32493920.100000001</v>
      </c>
      <c r="U39" s="513">
        <f>SUM(U4:U38)</f>
        <v>30153192.199999999</v>
      </c>
      <c r="X39" s="20">
        <f t="shared" si="2"/>
        <v>1.2038171203095098</v>
      </c>
    </row>
    <row r="40" spans="2:24" ht="19">
      <c r="B40" s="240" t="s">
        <v>101</v>
      </c>
      <c r="C40" s="241" t="e">
        <f>C39/#REF!</f>
        <v>#REF!</v>
      </c>
      <c r="D40" s="241" t="e">
        <f>D39/#REF!</f>
        <v>#REF!</v>
      </c>
      <c r="E40" s="241" t="e">
        <f>E39/#REF!</f>
        <v>#REF!</v>
      </c>
      <c r="F40" s="241" t="e">
        <f>F39/#REF!</f>
        <v>#REF!</v>
      </c>
      <c r="G40" s="241" t="e">
        <f>G39/#REF!</f>
        <v>#REF!</v>
      </c>
      <c r="H40" s="242">
        <f>H39/'GHGI-Scope 1'!C6</f>
        <v>1811.0111992893098</v>
      </c>
      <c r="I40" s="242">
        <f>I39/'GHGI-Scope 1'!D6</f>
        <v>1751.8326510380218</v>
      </c>
      <c r="J40" s="242">
        <f>J39/'GHGI-Scope 1'!E6</f>
        <v>1582.4104918798926</v>
      </c>
      <c r="K40" s="242">
        <f>K39/'GHGI-Scope 1'!F6</f>
        <v>1491.3399190283403</v>
      </c>
      <c r="L40" s="242">
        <f>L39/'GHGI-Scope 1'!G6</f>
        <v>1494.0342601904986</v>
      </c>
      <c r="M40" s="242">
        <f>M39/'GHGI-Scope 1'!H6</f>
        <v>1497.226310926311</v>
      </c>
      <c r="N40" s="242">
        <f>N39/'GHGI-Scope 1'!I6</f>
        <v>1425.1266617303643</v>
      </c>
      <c r="O40" s="242">
        <f>O39/'GHGI-Scope 1'!J6</f>
        <v>1524.1895545744146</v>
      </c>
      <c r="P40" s="242">
        <f>P39/'GHGI-Scope 1'!K6</f>
        <v>1433.975397614314</v>
      </c>
      <c r="Q40" s="242">
        <f>Q39/'GHGI-Scope 1'!L6</f>
        <v>1478.1293655157249</v>
      </c>
      <c r="R40" s="242">
        <f>R39/'GHGI-Scope 1'!M6</f>
        <v>1369.0704112613855</v>
      </c>
      <c r="S40" s="242">
        <f>S39/'GHGI-Scope 1'!N6</f>
        <v>1232.7899274506494</v>
      </c>
      <c r="T40" s="242">
        <f>T39/'GHGI-Scope 1'!O6</f>
        <v>1854.7816713282723</v>
      </c>
      <c r="U40" s="243">
        <f>U39/'GHGI-Scope 1'!P6</f>
        <v>1733.440195458465</v>
      </c>
      <c r="X40" s="20"/>
    </row>
    <row r="41" spans="2:24" ht="19">
      <c r="B41" s="240" t="s">
        <v>138</v>
      </c>
      <c r="C41" s="241"/>
      <c r="D41" s="241"/>
      <c r="E41" s="241"/>
      <c r="F41" s="241"/>
      <c r="G41" s="241"/>
      <c r="H41" s="244">
        <f>H39/'GHGI-Scope 1'!C7</f>
        <v>8.7152390946662734</v>
      </c>
      <c r="I41" s="244">
        <f>I39/'GHGI-Scope 1'!D7</f>
        <v>8.5617628944048061</v>
      </c>
      <c r="J41" s="244">
        <f>J39/'GHGI-Scope 1'!E7</f>
        <v>7.7202129694046722</v>
      </c>
      <c r="K41" s="244">
        <f>K39/'GHGI-Scope 1'!F7</f>
        <v>7.3490083572906348</v>
      </c>
      <c r="L41" s="244">
        <f>L39/'GHGI-Scope 1'!G7</f>
        <v>7.166426004253827</v>
      </c>
      <c r="M41" s="244">
        <f>M39/'GHGI-Scope 1'!H7</f>
        <v>7.3572125083537063</v>
      </c>
      <c r="N41" s="244">
        <f>N39/'GHGI-Scope 1'!I7</f>
        <v>7.100387441701419</v>
      </c>
      <c r="O41" s="244">
        <f>O39/'GHGI-Scope 1'!J7</f>
        <v>7.7392774452060724</v>
      </c>
      <c r="P41" s="244">
        <f>P39/'GHGI-Scope 1'!K7</f>
        <v>7.3284806395085154</v>
      </c>
      <c r="Q41" s="244">
        <f>Q39/'GHGI-Scope 1'!L7</f>
        <v>7.5341785628510607</v>
      </c>
      <c r="R41" s="244">
        <f>R39/'GHGI-Scope 1'!M7</f>
        <v>6.9502854439689923</v>
      </c>
      <c r="S41" s="244">
        <f>S39/'GHGI-Scope 1'!N7</f>
        <v>6.1430461443695474</v>
      </c>
      <c r="T41" s="244">
        <f>T39/'GHGI-Scope 1'!O7</f>
        <v>9.1062721726670492</v>
      </c>
      <c r="U41" s="607">
        <f>U39/'GHGI-Scope 1'!P7</f>
        <v>8.4697123130680989</v>
      </c>
      <c r="X41" s="20"/>
    </row>
    <row r="42" spans="2:24" ht="20" thickBot="1">
      <c r="B42" s="245" t="s">
        <v>137</v>
      </c>
      <c r="C42" s="246"/>
      <c r="D42" s="246"/>
      <c r="E42" s="246"/>
      <c r="F42" s="246"/>
      <c r="G42" s="246"/>
      <c r="H42" s="246"/>
      <c r="I42" s="246"/>
      <c r="J42" s="246"/>
      <c r="K42" s="246"/>
      <c r="L42" s="246"/>
      <c r="M42" s="246"/>
      <c r="N42" s="246"/>
      <c r="O42" s="246"/>
      <c r="P42" s="246"/>
      <c r="Q42" s="246"/>
      <c r="R42" s="617">
        <v>12569</v>
      </c>
      <c r="S42" s="248">
        <v>93319</v>
      </c>
      <c r="T42" s="248">
        <v>610109.5</v>
      </c>
      <c r="U42" s="249">
        <v>433074</v>
      </c>
    </row>
    <row r="43" spans="2:24">
      <c r="C43" s="30"/>
      <c r="D43" s="30"/>
    </row>
    <row r="44" spans="2:24">
      <c r="C44" s="31"/>
      <c r="D44" s="31"/>
      <c r="E44" s="31"/>
      <c r="F44" s="31"/>
    </row>
    <row r="46" spans="2:24">
      <c r="C46" s="30"/>
      <c r="D46" s="30"/>
      <c r="E46" s="30"/>
      <c r="F46" s="30"/>
      <c r="G46" s="30"/>
      <c r="H46" s="30"/>
      <c r="I46" s="30"/>
      <c r="J46" s="30"/>
      <c r="K46" s="30"/>
      <c r="L46" s="30"/>
      <c r="M46" s="30"/>
      <c r="N46" s="30"/>
      <c r="O46" s="30"/>
      <c r="P46" s="30"/>
      <c r="Q46" s="30"/>
      <c r="R46" s="30"/>
      <c r="S46" s="30"/>
      <c r="T46" s="30"/>
    </row>
    <row r="47" spans="2:24">
      <c r="Q47" s="30"/>
    </row>
    <row r="48" spans="2:24">
      <c r="Q48" s="2"/>
    </row>
    <row r="49" spans="17:17">
      <c r="Q49" s="20"/>
    </row>
  </sheetData>
  <mergeCells count="1">
    <mergeCell ref="H26:J26"/>
  </mergeCells>
  <conditionalFormatting sqref="G42:Q42 C46:F46">
    <cfRule type="colorScale" priority="6">
      <colorScale>
        <cfvo type="min"/>
        <cfvo type="percentile" val="50"/>
        <cfvo type="max"/>
        <color rgb="FF63BE7B"/>
        <color rgb="FFFFEB84"/>
        <color rgb="FFF8696B"/>
      </colorScale>
    </cfRule>
  </conditionalFormatting>
  <conditionalFormatting sqref="X4:X38">
    <cfRule type="colorScale" priority="5">
      <colorScale>
        <cfvo type="min"/>
        <cfvo type="percentile" val="50"/>
        <cfvo type="max"/>
        <color rgb="FF63BE7B"/>
        <color rgb="FFFFEB84"/>
        <color rgb="FFF8696B"/>
      </colorScale>
    </cfRule>
  </conditionalFormatting>
  <conditionalFormatting sqref="X39:X41">
    <cfRule type="colorScale" priority="222">
      <colorScale>
        <cfvo type="min"/>
        <cfvo type="percentile" val="50"/>
        <cfvo type="max"/>
        <color rgb="FF63BE7B"/>
        <color rgb="FFFFEB84"/>
        <color rgb="FFF8696B"/>
      </colorScale>
    </cfRule>
  </conditionalFormatting>
  <conditionalFormatting sqref="H39:U39">
    <cfRule type="colorScale" priority="238">
      <colorScale>
        <cfvo type="min"/>
        <cfvo type="percentile" val="50"/>
        <cfvo type="max"/>
        <color rgb="FF63BE7B"/>
        <color rgb="FFFFEB84"/>
        <color rgb="FFF8696B"/>
      </colorScale>
    </cfRule>
  </conditionalFormatting>
  <conditionalFormatting sqref="H40:U41">
    <cfRule type="colorScale" priority="240">
      <colorScale>
        <cfvo type="min"/>
        <cfvo type="percentile" val="50"/>
        <cfvo type="max"/>
        <color rgb="FF63BE7B"/>
        <color rgb="FFFFEB84"/>
        <color rgb="FFF8696B"/>
      </colorScale>
    </cfRule>
  </conditionalFormatting>
  <conditionalFormatting sqref="H41:U41">
    <cfRule type="colorScale" priority="242">
      <colorScale>
        <cfvo type="min"/>
        <cfvo type="percentile" val="50"/>
        <cfvo type="max"/>
        <color rgb="FF63BE7B"/>
        <color rgb="FFFFEB84"/>
        <color rgb="FFF8696B"/>
      </colorScale>
    </cfRule>
  </conditionalFormatting>
  <pageMargins left="0.7" right="0.7" top="0.75" bottom="0.75" header="0.3" footer="0.3"/>
  <pageSetup scale="48" orientation="landscape"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6F34D-AFDD-7E47-AF9A-E3E167F119FF}">
  <sheetPr>
    <pageSetUpPr fitToPage="1"/>
  </sheetPr>
  <dimension ref="B1:U38"/>
  <sheetViews>
    <sheetView topLeftCell="B1" zoomScale="85" zoomScaleNormal="85" workbookViewId="0">
      <selection activeCell="J23" sqref="J23"/>
    </sheetView>
  </sheetViews>
  <sheetFormatPr baseColWidth="10" defaultColWidth="11.5" defaultRowHeight="15"/>
  <cols>
    <col min="2" max="2" width="36.5" customWidth="1"/>
    <col min="3" max="7" width="0" hidden="1" customWidth="1"/>
    <col min="8" max="21" width="14.5" customWidth="1"/>
  </cols>
  <sheetData>
    <row r="1" spans="2:21" ht="16" thickBot="1"/>
    <row r="2" spans="2:21" ht="65" thickBot="1">
      <c r="B2" s="685" t="s">
        <v>255</v>
      </c>
      <c r="C2" s="686"/>
      <c r="D2" s="686"/>
      <c r="E2" s="686"/>
      <c r="F2" s="686"/>
      <c r="G2" s="686"/>
      <c r="H2" s="686"/>
      <c r="I2" s="686"/>
      <c r="J2" s="687"/>
      <c r="K2" s="290"/>
      <c r="L2" s="194"/>
      <c r="M2" s="194"/>
      <c r="N2" s="194"/>
      <c r="O2" s="194"/>
      <c r="P2" s="194"/>
      <c r="Q2" s="194"/>
      <c r="R2" s="194"/>
      <c r="S2" s="252" t="s">
        <v>264</v>
      </c>
      <c r="T2" s="253" t="s">
        <v>160</v>
      </c>
      <c r="U2" s="253"/>
    </row>
    <row r="3" spans="2:21" ht="22" thickBot="1">
      <c r="B3" s="291" t="s">
        <v>90</v>
      </c>
      <c r="C3" s="292">
        <v>2005</v>
      </c>
      <c r="D3" s="292">
        <f>C3+1</f>
        <v>2006</v>
      </c>
      <c r="E3" s="292">
        <f t="shared" ref="E3:U3" si="0">D3+1</f>
        <v>2007</v>
      </c>
      <c r="F3" s="292">
        <f t="shared" si="0"/>
        <v>2008</v>
      </c>
      <c r="G3" s="292">
        <f t="shared" si="0"/>
        <v>2009</v>
      </c>
      <c r="H3" s="292">
        <f t="shared" si="0"/>
        <v>2010</v>
      </c>
      <c r="I3" s="292">
        <f t="shared" si="0"/>
        <v>2011</v>
      </c>
      <c r="J3" s="292">
        <f t="shared" si="0"/>
        <v>2012</v>
      </c>
      <c r="K3" s="292">
        <f t="shared" si="0"/>
        <v>2013</v>
      </c>
      <c r="L3" s="292">
        <f t="shared" si="0"/>
        <v>2014</v>
      </c>
      <c r="M3" s="292">
        <f t="shared" si="0"/>
        <v>2015</v>
      </c>
      <c r="N3" s="292">
        <f t="shared" si="0"/>
        <v>2016</v>
      </c>
      <c r="O3" s="292">
        <f t="shared" si="0"/>
        <v>2017</v>
      </c>
      <c r="P3" s="292">
        <f t="shared" si="0"/>
        <v>2018</v>
      </c>
      <c r="Q3" s="292">
        <f t="shared" si="0"/>
        <v>2019</v>
      </c>
      <c r="R3" s="292">
        <f t="shared" si="0"/>
        <v>2020</v>
      </c>
      <c r="S3" s="292">
        <f t="shared" si="0"/>
        <v>2021</v>
      </c>
      <c r="T3" s="293">
        <f t="shared" si="0"/>
        <v>2022</v>
      </c>
      <c r="U3" s="293">
        <f t="shared" si="0"/>
        <v>2023</v>
      </c>
    </row>
    <row r="4" spans="2:21" ht="16">
      <c r="B4" s="313" t="s">
        <v>1</v>
      </c>
      <c r="C4" s="314" t="s">
        <v>99</v>
      </c>
      <c r="D4" s="314"/>
      <c r="E4" s="178">
        <v>532563.6</v>
      </c>
      <c r="F4" s="178">
        <v>539825.4</v>
      </c>
      <c r="G4" s="178">
        <v>590592</v>
      </c>
      <c r="H4" s="315">
        <f>Electricity_Grid!H4/Enrollment!H4</f>
        <v>1176.6750561797753</v>
      </c>
      <c r="I4" s="178">
        <f>Electricity_Grid!I4/Enrollment!I4</f>
        <v>794.07533557046986</v>
      </c>
      <c r="J4" s="315">
        <f>Electricity_Grid!J4/Enrollment!J4</f>
        <v>958.77837837837842</v>
      </c>
      <c r="K4" s="178">
        <f>Electricity_Grid!K4/Enrollment!K4</f>
        <v>685.46036585365857</v>
      </c>
      <c r="L4" s="315">
        <f>Electricity_Grid!L4/Enrollment!L4</f>
        <v>930.02185430463578</v>
      </c>
      <c r="M4" s="178">
        <f>Electricity_Grid!M4/Enrollment!M4</f>
        <v>813.89281553398052</v>
      </c>
      <c r="N4" s="315">
        <f>Electricity_Grid!N4/Enrollment!N4</f>
        <v>874.27818574514038</v>
      </c>
      <c r="O4" s="178">
        <f>Electricity_Grid!O4/Enrollment!O4</f>
        <v>1077.5620767494356</v>
      </c>
      <c r="P4" s="315">
        <f>Electricity_Grid!P4/Enrollment!P4</f>
        <v>1092.0798594847774</v>
      </c>
      <c r="Q4" s="178">
        <f>Electricity_Grid!Q4/Enrollment!Q4</f>
        <v>1216.15337995338</v>
      </c>
      <c r="R4" s="315">
        <f>Electricity_Grid!R4/Enrollment!R4</f>
        <v>1233.4736972704716</v>
      </c>
      <c r="S4" s="178">
        <f>Electricity_Grid!S4/Enrollment!S4</f>
        <v>987.59973333333335</v>
      </c>
      <c r="T4" s="315">
        <f>Electricity_Grid!T4/Enrollment!T4</f>
        <v>1260.014831460674</v>
      </c>
      <c r="U4" s="533">
        <f>Electricity_Grid!U4/Enrollment!U4</f>
        <v>1043.6924882629107</v>
      </c>
    </row>
    <row r="5" spans="2:21" ht="17" thickBot="1">
      <c r="B5" s="188" t="s">
        <v>265</v>
      </c>
      <c r="C5" s="74">
        <v>314466.8</v>
      </c>
      <c r="D5" s="74">
        <v>309749</v>
      </c>
      <c r="E5" s="74">
        <v>259029.7</v>
      </c>
      <c r="F5" s="74">
        <v>284351.2</v>
      </c>
      <c r="G5" s="74">
        <v>319561.3</v>
      </c>
      <c r="H5" s="75">
        <f>Electricity_Grid!H5/Enrollment!H5</f>
        <v>1087.1410774410774</v>
      </c>
      <c r="I5" s="74">
        <f>Electricity_Grid!I5/Enrollment!I5</f>
        <v>1038.8309148264984</v>
      </c>
      <c r="J5" s="75">
        <f>Electricity_Grid!J5/Enrollment!J5</f>
        <v>975.53737373737363</v>
      </c>
      <c r="K5" s="74">
        <f>Electricity_Grid!K5/Enrollment!K5</f>
        <v>858.28513513513508</v>
      </c>
      <c r="L5" s="75">
        <f>Electricity_Grid!L5/Enrollment!L5</f>
        <v>736.21230283911666</v>
      </c>
      <c r="M5" s="74">
        <f>Electricity_Grid!M5/Enrollment!M5</f>
        <v>806.04518272425253</v>
      </c>
      <c r="N5" s="75">
        <f>Electricity_Grid!N5/Enrollment!N5</f>
        <v>716.22866894197955</v>
      </c>
      <c r="O5" s="74">
        <f>Electricity_Grid!O5/Enrollment!O5</f>
        <v>851.952</v>
      </c>
      <c r="P5" s="75">
        <f>Electricity_Grid!P5/Enrollment!P5</f>
        <v>851.37603833865819</v>
      </c>
      <c r="Q5" s="74">
        <f>Electricity_Grid!Q5/Enrollment!Q5</f>
        <v>1452.2275747508306</v>
      </c>
      <c r="R5" s="75">
        <f>Electricity_Grid!R5/Enrollment!R5</f>
        <v>1733.1118644067797</v>
      </c>
      <c r="S5" s="74">
        <f>Electricity_Grid!S5/Enrollment!S5</f>
        <v>689.72673611111111</v>
      </c>
      <c r="T5" s="75">
        <f>Electricity_Grid!T5/Enrollment!T5</f>
        <v>846.57987616099069</v>
      </c>
      <c r="U5" s="534">
        <f>Electricity_Grid!U5/Enrollment!U5</f>
        <v>795.90967741935492</v>
      </c>
    </row>
    <row r="6" spans="2:21" ht="16">
      <c r="B6" s="188" t="s">
        <v>7</v>
      </c>
      <c r="C6" s="71">
        <v>350935.6</v>
      </c>
      <c r="D6" s="71">
        <v>337195.8</v>
      </c>
      <c r="E6" s="71">
        <v>375470.9</v>
      </c>
      <c r="F6" s="71">
        <v>374465.6</v>
      </c>
      <c r="G6" s="71">
        <v>359130.4</v>
      </c>
      <c r="H6" s="315">
        <f>Electricity_Grid!H6/Enrollment!H6</f>
        <v>892.70182291666663</v>
      </c>
      <c r="I6" s="178">
        <f>Electricity_Grid!I6/Enrollment!I6</f>
        <v>823.91033591731264</v>
      </c>
      <c r="J6" s="315">
        <f>Electricity_Grid!J6/Enrollment!J6</f>
        <v>814.47648578811379</v>
      </c>
      <c r="K6" s="178">
        <f>Electricity_Grid!K6/Enrollment!K6</f>
        <v>728.1058355437666</v>
      </c>
      <c r="L6" s="315">
        <f>Electricity_Grid!L6/Enrollment!L6</f>
        <v>682.44945945945938</v>
      </c>
      <c r="M6" s="178">
        <f>Electricity_Grid!M6/Enrollment!M6</f>
        <v>746.62724935732649</v>
      </c>
      <c r="N6" s="315">
        <f>Electricity_Grid!N6/Enrollment!N6</f>
        <v>681.60824742268039</v>
      </c>
      <c r="O6" s="178">
        <f>Electricity_Grid!O6/Enrollment!O6</f>
        <v>724.04228855721396</v>
      </c>
      <c r="P6" s="315">
        <f>Electricity_Grid!P6/Enrollment!P6</f>
        <v>765.15736040609136</v>
      </c>
      <c r="Q6" s="178">
        <f>Electricity_Grid!Q6/Enrollment!Q6</f>
        <v>806.75265700483089</v>
      </c>
      <c r="R6" s="315">
        <f>Electricity_Grid!R6/Enrollment!R6</f>
        <v>785.41935483870964</v>
      </c>
      <c r="S6" s="178">
        <f>Electricity_Grid!S6/Enrollment!S6</f>
        <v>570.92776470588228</v>
      </c>
      <c r="T6" s="315">
        <f>Electricity_Grid!T6/Enrollment!T6</f>
        <v>948.04301075268813</v>
      </c>
      <c r="U6" s="533">
        <f>Electricity_Grid!U6/Enrollment!U6</f>
        <v>830.85921375921384</v>
      </c>
    </row>
    <row r="7" spans="2:21" ht="17" thickBot="1">
      <c r="B7" s="188" t="s">
        <v>9</v>
      </c>
      <c r="C7" s="72">
        <v>215760.3</v>
      </c>
      <c r="D7" s="72">
        <v>217423.2</v>
      </c>
      <c r="E7" s="72">
        <v>216437.6</v>
      </c>
      <c r="F7" s="72">
        <v>256057.1</v>
      </c>
      <c r="G7" s="72">
        <v>200338.9</v>
      </c>
      <c r="H7" s="75">
        <f>Electricity_Grid!H7/Enrollment!H7</f>
        <v>452.72233009708742</v>
      </c>
      <c r="I7" s="74">
        <f>Electricity_Grid!I7/Enrollment!I7</f>
        <v>431.65084175084178</v>
      </c>
      <c r="J7" s="75">
        <f>Electricity_Grid!J7/Enrollment!J7</f>
        <v>431.5916955017301</v>
      </c>
      <c r="K7" s="74">
        <f>Electricity_Grid!K7/Enrollment!K7</f>
        <v>360.21258503401361</v>
      </c>
      <c r="L7" s="75">
        <f>Electricity_Grid!L7/Enrollment!L7</f>
        <v>329.27820069204148</v>
      </c>
      <c r="M7" s="74">
        <f>Electricity_Grid!M7/Enrollment!M7</f>
        <v>313.06779141104295</v>
      </c>
      <c r="N7" s="75">
        <f>Electricity_Grid!N7/Enrollment!N7</f>
        <v>275.64518950437321</v>
      </c>
      <c r="O7" s="74">
        <f>Electricity_Grid!O7/Enrollment!O7</f>
        <v>407.75505952380956</v>
      </c>
      <c r="P7" s="75">
        <f>Electricity_Grid!P7/Enrollment!P7</f>
        <v>332.2675595238095</v>
      </c>
      <c r="Q7" s="74">
        <f>Electricity_Grid!Q7/Enrollment!Q7</f>
        <v>295.92706552706551</v>
      </c>
      <c r="R7" s="75">
        <f>Electricity_Grid!R7/Enrollment!R7</f>
        <v>340.61484593837537</v>
      </c>
      <c r="S7" s="74">
        <f>Electricity_Grid!S7/Enrollment!S7</f>
        <v>221.12981927710845</v>
      </c>
      <c r="T7" s="75">
        <f>Electricity_Grid!T7/Enrollment!T7</f>
        <v>376.1142372881356</v>
      </c>
      <c r="U7" s="534">
        <f>Electricity_Grid!U7/Enrollment!U7</f>
        <v>713.97619047619048</v>
      </c>
    </row>
    <row r="8" spans="2:21" ht="16">
      <c r="B8" s="188" t="s">
        <v>11</v>
      </c>
      <c r="C8" s="71">
        <v>312771</v>
      </c>
      <c r="D8" s="71">
        <v>282627</v>
      </c>
      <c r="E8" s="71">
        <v>255272</v>
      </c>
      <c r="F8" s="71">
        <v>257901.4</v>
      </c>
      <c r="G8" s="71">
        <v>266605.2</v>
      </c>
      <c r="H8" s="315">
        <f>Electricity_Grid!H8/Enrollment!H8</f>
        <v>807.18872832369937</v>
      </c>
      <c r="I8" s="178">
        <f>Electricity_Grid!I8/Enrollment!I8</f>
        <v>725.66113989637313</v>
      </c>
      <c r="J8" s="315">
        <f>Electricity_Grid!J8/Enrollment!J8</f>
        <v>605.34794871794873</v>
      </c>
      <c r="K8" s="178">
        <f>Electricity_Grid!K8/Enrollment!K8</f>
        <v>579.79539641943734</v>
      </c>
      <c r="L8" s="315">
        <f>Electricity_Grid!L8/Enrollment!L8</f>
        <v>596.5915492957746</v>
      </c>
      <c r="M8" s="178">
        <f>Electricity_Grid!M8/Enrollment!M8</f>
        <v>597.52138888888896</v>
      </c>
      <c r="N8" s="315">
        <f>Electricity_Grid!N8/Enrollment!N8</f>
        <v>614.16490250696381</v>
      </c>
      <c r="O8" s="178">
        <f>Electricity_Grid!O8/Enrollment!O8</f>
        <v>709.71800554016625</v>
      </c>
      <c r="P8" s="315">
        <f>Electricity_Grid!P8/Enrollment!P8</f>
        <v>765.62845528455296</v>
      </c>
      <c r="Q8" s="178">
        <f>Electricity_Grid!Q8/Enrollment!Q8</f>
        <v>844.37572559366765</v>
      </c>
      <c r="R8" s="315">
        <f>Electricity_Grid!R8/Enrollment!R8</f>
        <v>616.83374083129581</v>
      </c>
      <c r="S8" s="178">
        <f>Electricity_Grid!S8/Enrollment!S8</f>
        <v>564.35424657534247</v>
      </c>
      <c r="T8" s="315">
        <f>Electricity_Grid!T8/Enrollment!T8</f>
        <v>871.17888563049848</v>
      </c>
      <c r="U8" s="533">
        <f>Electricity_Grid!U8/Enrollment!U8</f>
        <v>879.92805970149266</v>
      </c>
    </row>
    <row r="9" spans="2:21" ht="17" thickBot="1">
      <c r="B9" s="188" t="s">
        <v>13</v>
      </c>
      <c r="C9" s="71">
        <v>520278.9</v>
      </c>
      <c r="D9" s="71">
        <v>518853.9</v>
      </c>
      <c r="E9" s="71">
        <v>481047.9</v>
      </c>
      <c r="F9" s="71">
        <v>519751.9</v>
      </c>
      <c r="G9" s="71">
        <v>522155.7</v>
      </c>
      <c r="H9" s="75">
        <f>Electricity_Grid!H9/Enrollment!H9</f>
        <v>1538.0387301587302</v>
      </c>
      <c r="I9" s="74">
        <f>Electricity_Grid!I9/Enrollment!I9</f>
        <v>1218.0693766937668</v>
      </c>
      <c r="J9" s="75">
        <f>Electricity_Grid!J9/Enrollment!J9</f>
        <v>1185.6788359788359</v>
      </c>
      <c r="K9" s="74">
        <f>Electricity_Grid!K9/Enrollment!K9</f>
        <v>1134.0125</v>
      </c>
      <c r="L9" s="75">
        <f>Electricity_Grid!L9/Enrollment!L9</f>
        <v>995.68628048780477</v>
      </c>
      <c r="M9" s="74">
        <f>Electricity_Grid!M9/Enrollment!M9</f>
        <v>1183.2704180064309</v>
      </c>
      <c r="N9" s="75">
        <f>Electricity_Grid!N9/Enrollment!N9</f>
        <v>1197.7748344370862</v>
      </c>
      <c r="O9" s="74">
        <f>Electricity_Grid!O9/Enrollment!O9</f>
        <v>1293.1581993569132</v>
      </c>
      <c r="P9" s="75">
        <f>Electricity_Grid!P9/Enrollment!P9</f>
        <v>1662.2931372549019</v>
      </c>
      <c r="Q9" s="74">
        <f>Electricity_Grid!Q9/Enrollment!Q9</f>
        <v>1640.0210169491527</v>
      </c>
      <c r="R9" s="75">
        <f>Electricity_Grid!R9/Enrollment!R9</f>
        <v>1378.1815972222221</v>
      </c>
      <c r="S9" s="74">
        <f>Electricity_Grid!S9/Enrollment!S9</f>
        <v>1163.2324427480917</v>
      </c>
      <c r="T9" s="75">
        <f>Electricity_Grid!T9/Enrollment!T9</f>
        <v>1346.0375478927203</v>
      </c>
      <c r="U9" s="534">
        <f>Electricity_Grid!U9/Enrollment!U9</f>
        <v>987.22445414847164</v>
      </c>
    </row>
    <row r="10" spans="2:21" ht="16">
      <c r="B10" s="188" t="s">
        <v>15</v>
      </c>
      <c r="C10" s="72">
        <v>330152</v>
      </c>
      <c r="D10" s="72">
        <v>301427.59999999998</v>
      </c>
      <c r="E10" s="72">
        <v>279136</v>
      </c>
      <c r="F10" s="72">
        <v>286067</v>
      </c>
      <c r="G10" s="72">
        <v>266659.40000000002</v>
      </c>
      <c r="H10" s="315">
        <f>Electricity_Grid!H10/Enrollment!H10</f>
        <v>726.29952718676122</v>
      </c>
      <c r="I10" s="178">
        <f>Electricity_Grid!I10/Enrollment!I10</f>
        <v>705.55677570093451</v>
      </c>
      <c r="J10" s="315">
        <f>Electricity_Grid!J10/Enrollment!J10</f>
        <v>617.44354066985647</v>
      </c>
      <c r="K10" s="178">
        <f>Electricity_Grid!K10/Enrollment!K10</f>
        <v>539.81622276029054</v>
      </c>
      <c r="L10" s="315">
        <f>Electricity_Grid!L10/Enrollment!L10</f>
        <v>527.85241545893723</v>
      </c>
      <c r="M10" s="178">
        <f>Electricity_Grid!M10/Enrollment!M10</f>
        <v>615.25</v>
      </c>
      <c r="N10" s="315">
        <f>Electricity_Grid!N10/Enrollment!N10</f>
        <v>538.4</v>
      </c>
      <c r="O10" s="178">
        <f>Electricity_Grid!O10/Enrollment!O10</f>
        <v>557.83290598290591</v>
      </c>
      <c r="P10" s="315">
        <f>Electricity_Grid!P10/Enrollment!P10</f>
        <v>317.57543186180419</v>
      </c>
      <c r="Q10" s="178">
        <f>Electricity_Grid!Q10/Enrollment!Q10</f>
        <v>427.3265420560748</v>
      </c>
      <c r="R10" s="315">
        <f>Electricity_Grid!R10/Enrollment!R10</f>
        <v>694.90996093750005</v>
      </c>
      <c r="S10" s="178">
        <f>Electricity_Grid!S10/Enrollment!S10</f>
        <v>489.67286324786323</v>
      </c>
      <c r="T10" s="315">
        <f>Electricity_Grid!T10/Enrollment!T10</f>
        <v>807.5336322869955</v>
      </c>
      <c r="U10" s="533">
        <f>Electricity_Grid!U10/Enrollment!U10</f>
        <v>592.88420523138836</v>
      </c>
    </row>
    <row r="11" spans="2:21" ht="17" thickBot="1">
      <c r="B11" s="188" t="s">
        <v>17</v>
      </c>
      <c r="C11" s="72">
        <v>283760.2</v>
      </c>
      <c r="D11" s="72">
        <v>295918.59999999998</v>
      </c>
      <c r="E11" s="72">
        <v>278884.8</v>
      </c>
      <c r="F11" s="72">
        <v>298551.2</v>
      </c>
      <c r="G11" s="72">
        <v>280048.2</v>
      </c>
      <c r="H11" s="75">
        <f>Electricity_Grid!H11/Enrollment!H11</f>
        <v>926.00510510510514</v>
      </c>
      <c r="I11" s="74">
        <f>Electricity_Grid!I11/Enrollment!I11</f>
        <v>860.00413223140492</v>
      </c>
      <c r="J11" s="75">
        <f>Electricity_Grid!J11/Enrollment!J11</f>
        <v>675.91582914572859</v>
      </c>
      <c r="K11" s="74">
        <f>Electricity_Grid!K11/Enrollment!K11</f>
        <v>660.96709844559587</v>
      </c>
      <c r="L11" s="75">
        <f>Electricity_Grid!L11/Enrollment!L11</f>
        <v>593.3232911392405</v>
      </c>
      <c r="M11" s="74">
        <f>Electricity_Grid!M11/Enrollment!M11</f>
        <v>612.90482233502541</v>
      </c>
      <c r="N11" s="75">
        <f>Electricity_Grid!N11/Enrollment!N11</f>
        <v>525.68257756563241</v>
      </c>
      <c r="O11" s="74">
        <f>Electricity_Grid!O11/Enrollment!O11</f>
        <v>583.48179723502301</v>
      </c>
      <c r="P11" s="75">
        <f>Electricity_Grid!P11/Enrollment!P11</f>
        <v>591.59833333333336</v>
      </c>
      <c r="Q11" s="74">
        <f>Electricity_Grid!Q11/Enrollment!Q11</f>
        <v>593.37770114942521</v>
      </c>
      <c r="R11" s="75">
        <f>Electricity_Grid!R11/Enrollment!R11</f>
        <v>483.4424628450106</v>
      </c>
      <c r="S11" s="74">
        <f>Electricity_Grid!S11/Enrollment!S11</f>
        <v>382.04085778781041</v>
      </c>
      <c r="T11" s="75">
        <f>Electricity_Grid!T11/Enrollment!T11</f>
        <v>486.82229166666667</v>
      </c>
      <c r="U11" s="534">
        <f>Electricity_Grid!U11/Enrollment!U11</f>
        <v>616.17563805104407</v>
      </c>
    </row>
    <row r="12" spans="2:21" ht="16">
      <c r="B12" s="188" t="s">
        <v>19</v>
      </c>
      <c r="C12" s="75">
        <v>228168.3</v>
      </c>
      <c r="D12" s="75">
        <v>234944</v>
      </c>
      <c r="E12" s="75">
        <v>237884.79999999999</v>
      </c>
      <c r="F12" s="75">
        <v>258301.4</v>
      </c>
      <c r="G12" s="75">
        <v>249443.4</v>
      </c>
      <c r="H12" s="315">
        <f>Electricity_Grid!H12/Enrollment!H12</f>
        <v>673.16781002638527</v>
      </c>
      <c r="I12" s="178">
        <f>Electricity_Grid!I12/Enrollment!I12</f>
        <v>744.97741935483862</v>
      </c>
      <c r="J12" s="315">
        <f>Electricity_Grid!J12/Enrollment!J12</f>
        <v>641.05837837837839</v>
      </c>
      <c r="K12" s="178">
        <f>Electricity_Grid!K12/Enrollment!K12</f>
        <v>495.39369863013701</v>
      </c>
      <c r="L12" s="315">
        <f>Electricity_Grid!L12/Enrollment!L12</f>
        <v>484.86556473829205</v>
      </c>
      <c r="M12" s="178">
        <f>Electricity_Grid!M12/Enrollment!M12</f>
        <v>509.03559322033902</v>
      </c>
      <c r="N12" s="315">
        <f>Electricity_Grid!N12/Enrollment!N12</f>
        <v>469.33687315634222</v>
      </c>
      <c r="O12" s="178">
        <f>Electricity_Grid!O12/Enrollment!O12</f>
        <v>536.73168604651164</v>
      </c>
      <c r="P12" s="315">
        <f>Electricity_Grid!P12/Enrollment!P12</f>
        <v>598.10028985507245</v>
      </c>
      <c r="Q12" s="178">
        <f>Electricity_Grid!Q12/Enrollment!Q12</f>
        <v>577.73533123028392</v>
      </c>
      <c r="R12" s="315">
        <f>Electricity_Grid!R12/Enrollment!R12</f>
        <v>516.93727272727267</v>
      </c>
      <c r="S12" s="178">
        <f>Electricity_Grid!S12/Enrollment!S12</f>
        <v>443.96214511041012</v>
      </c>
      <c r="T12" s="315">
        <f>Electricity_Grid!T12/Enrollment!T12</f>
        <v>743.22500000000002</v>
      </c>
      <c r="U12" s="533">
        <f>Electricity_Grid!U12/Enrollment!U12</f>
        <v>746.42758620689654</v>
      </c>
    </row>
    <row r="13" spans="2:21" ht="17" thickBot="1">
      <c r="B13" s="188" t="s">
        <v>21</v>
      </c>
      <c r="C13" s="71">
        <v>311278</v>
      </c>
      <c r="D13" s="71">
        <v>301547.59999999998</v>
      </c>
      <c r="E13" s="71">
        <v>302082.40000000002</v>
      </c>
      <c r="F13" s="71">
        <v>301331.90000000002</v>
      </c>
      <c r="G13" s="71">
        <v>314840.7</v>
      </c>
      <c r="H13" s="70" t="s">
        <v>253</v>
      </c>
      <c r="I13" s="70" t="s">
        <v>253</v>
      </c>
      <c r="J13" s="70" t="s">
        <v>253</v>
      </c>
      <c r="K13" s="70" t="s">
        <v>253</v>
      </c>
      <c r="L13" s="70" t="s">
        <v>253</v>
      </c>
      <c r="M13" s="70" t="s">
        <v>253</v>
      </c>
      <c r="N13" s="70" t="s">
        <v>253</v>
      </c>
      <c r="O13" s="70" t="s">
        <v>253</v>
      </c>
      <c r="P13" s="70" t="s">
        <v>253</v>
      </c>
      <c r="Q13" s="70" t="s">
        <v>253</v>
      </c>
      <c r="R13" s="70" t="s">
        <v>253</v>
      </c>
      <c r="S13" s="70" t="s">
        <v>253</v>
      </c>
      <c r="T13" s="70" t="s">
        <v>253</v>
      </c>
      <c r="U13" s="528" t="s">
        <v>253</v>
      </c>
    </row>
    <row r="14" spans="2:21" ht="16">
      <c r="B14" s="188" t="s">
        <v>23</v>
      </c>
      <c r="C14" s="74">
        <v>311676</v>
      </c>
      <c r="D14" s="74">
        <v>331103.40000000002</v>
      </c>
      <c r="E14" s="74">
        <v>288744.59999999998</v>
      </c>
      <c r="F14" s="74">
        <v>322270.3</v>
      </c>
      <c r="G14" s="74">
        <v>304967</v>
      </c>
      <c r="H14" s="315">
        <f>Electricity_Grid!H14/Enrollment!H14</f>
        <v>1004.9235820895523</v>
      </c>
      <c r="I14" s="178">
        <f>Electricity_Grid!I14/Enrollment!I14</f>
        <v>893.87743732590525</v>
      </c>
      <c r="J14" s="315">
        <f>Electricity_Grid!J14/Enrollment!J14</f>
        <v>760.50355191256824</v>
      </c>
      <c r="K14" s="178">
        <f>Electricity_Grid!K14/Enrollment!K14</f>
        <v>670.69398280802295</v>
      </c>
      <c r="L14" s="315">
        <f>Electricity_Grid!L14/Enrollment!L14</f>
        <v>707.59289940828398</v>
      </c>
      <c r="M14" s="178">
        <f>Electricity_Grid!M14/Enrollment!M14</f>
        <v>730.64078549848944</v>
      </c>
      <c r="N14" s="315">
        <f>Electricity_Grid!N14/Enrollment!N14</f>
        <v>673.60534591194971</v>
      </c>
      <c r="O14" s="178">
        <f>Electricity_Grid!O14/Enrollment!O14</f>
        <v>841.4567415730337</v>
      </c>
      <c r="P14" s="315">
        <f>Electricity_Grid!P14/Enrollment!P14</f>
        <v>752.82763532763533</v>
      </c>
      <c r="Q14" s="178">
        <f>Electricity_Grid!Q14/Enrollment!Q14</f>
        <v>666.35430809399486</v>
      </c>
      <c r="R14" s="315">
        <f>Electricity_Grid!R14/Enrollment!R14</f>
        <v>614.42802056555274</v>
      </c>
      <c r="S14" s="178">
        <f>Electricity_Grid!S14/Enrollment!S14</f>
        <v>493.05882352941177</v>
      </c>
      <c r="T14" s="315">
        <f>Electricity_Grid!T14/Enrollment!T14</f>
        <v>804.49230769230769</v>
      </c>
      <c r="U14" s="533">
        <f>Electricity_Grid!U14/Enrollment!U14</f>
        <v>847.41737967914435</v>
      </c>
    </row>
    <row r="15" spans="2:21" ht="17" thickBot="1">
      <c r="B15" s="188" t="s">
        <v>25</v>
      </c>
      <c r="C15" s="74">
        <v>229439</v>
      </c>
      <c r="D15" s="74">
        <v>245465</v>
      </c>
      <c r="E15" s="74">
        <v>308911.90000000002</v>
      </c>
      <c r="F15" s="74">
        <v>297347.09999999998</v>
      </c>
      <c r="G15" s="74">
        <v>285802.90000000002</v>
      </c>
      <c r="H15" s="75">
        <f>Electricity_Grid!H15/Enrollment!H15</f>
        <v>708.85649038461531</v>
      </c>
      <c r="I15" s="74">
        <f>Electricity_Grid!I15/Enrollment!I15</f>
        <v>686.7122596153846</v>
      </c>
      <c r="J15" s="75">
        <f>Electricity_Grid!J15/Enrollment!J15</f>
        <v>602.00783847980995</v>
      </c>
      <c r="K15" s="74">
        <f>Electricity_Grid!K15/Enrollment!K15</f>
        <v>569.95083532219564</v>
      </c>
      <c r="L15" s="75">
        <f>Electricity_Grid!L15/Enrollment!L15</f>
        <v>602.05689223057652</v>
      </c>
      <c r="M15" s="74">
        <f>Electricity_Grid!M15/Enrollment!M15</f>
        <v>631.01029411764705</v>
      </c>
      <c r="N15" s="75">
        <f>Electricity_Grid!N15/Enrollment!N15</f>
        <v>607.93569482288831</v>
      </c>
      <c r="O15" s="74">
        <f>Electricity_Grid!O15/Enrollment!O15</f>
        <v>577.94384384384387</v>
      </c>
      <c r="P15" s="75">
        <f>Electricity_Grid!P15/Enrollment!P15</f>
        <v>660.03630952380956</v>
      </c>
      <c r="Q15" s="74">
        <f>Electricity_Grid!Q15/Enrollment!Q15</f>
        <v>687.71754385964914</v>
      </c>
      <c r="R15" s="75">
        <f>Electricity_Grid!R15/Enrollment!R15</f>
        <v>547.33498622589536</v>
      </c>
      <c r="S15" s="74">
        <f>Electricity_Grid!S15/Enrollment!S15</f>
        <v>387.49519774011299</v>
      </c>
      <c r="T15" s="75">
        <f>Electricity_Grid!T15/Enrollment!T15</f>
        <v>528.14285714285711</v>
      </c>
      <c r="U15" s="534">
        <f>Electricity_Grid!U15/Enrollment!U15</f>
        <v>418.85733695652175</v>
      </c>
    </row>
    <row r="16" spans="2:21" ht="16">
      <c r="B16" s="188" t="s">
        <v>27</v>
      </c>
      <c r="C16" s="74">
        <v>355208.9</v>
      </c>
      <c r="D16" s="74">
        <v>348156</v>
      </c>
      <c r="E16" s="74">
        <v>356316.6</v>
      </c>
      <c r="F16" s="74">
        <v>361335.1</v>
      </c>
      <c r="G16" s="74">
        <v>411083.1</v>
      </c>
      <c r="H16" s="315">
        <f>Electricity_Grid!H16/Enrollment!H16</f>
        <v>963.53228915662658</v>
      </c>
      <c r="I16" s="178">
        <f>Electricity_Grid!I16/Enrollment!I16</f>
        <v>1001.1686274509804</v>
      </c>
      <c r="J16" s="315">
        <f>Electricity_Grid!J16/Enrollment!J16</f>
        <v>852.05339805825247</v>
      </c>
      <c r="K16" s="178">
        <f>Electricity_Grid!K16/Enrollment!K16</f>
        <v>694.1394618834081</v>
      </c>
      <c r="L16" s="315">
        <f>Electricity_Grid!L16/Enrollment!L16</f>
        <v>680.49549549549545</v>
      </c>
      <c r="M16" s="178">
        <f>Electricity_Grid!M16/Enrollment!M16</f>
        <v>716.98684807256234</v>
      </c>
      <c r="N16" s="315">
        <f>Electricity_Grid!N16/Enrollment!N16</f>
        <v>592.39896480331265</v>
      </c>
      <c r="O16" s="178">
        <f>Electricity_Grid!O16/Enrollment!O16</f>
        <v>711.83360323886632</v>
      </c>
      <c r="P16" s="315">
        <f>Electricity_Grid!P16/Enrollment!P16</f>
        <v>929.95992063492065</v>
      </c>
      <c r="Q16" s="178">
        <f>Electricity_Grid!Q16/Enrollment!Q16</f>
        <v>968.16367112810701</v>
      </c>
      <c r="R16" s="315">
        <f>Electricity_Grid!R16/Enrollment!R16</f>
        <v>859.60785440613029</v>
      </c>
      <c r="S16" s="178">
        <f>Electricity_Grid!S16/Enrollment!S16</f>
        <v>732.5946721311476</v>
      </c>
      <c r="T16" s="315">
        <f>Electricity_Grid!T16/Enrollment!T16</f>
        <v>963.36067864271456</v>
      </c>
      <c r="U16" s="533">
        <f>Electricity_Grid!U16/Enrollment!U16</f>
        <v>904.00230769230768</v>
      </c>
    </row>
    <row r="17" spans="2:21" ht="17" thickBot="1">
      <c r="B17" s="188" t="s">
        <v>29</v>
      </c>
      <c r="C17" s="72">
        <v>303131</v>
      </c>
      <c r="D17" s="72">
        <v>285146.5</v>
      </c>
      <c r="E17" s="72">
        <v>257928.5</v>
      </c>
      <c r="F17" s="72">
        <v>265587.3</v>
      </c>
      <c r="G17" s="72">
        <v>271977.3</v>
      </c>
      <c r="H17" s="75">
        <f>Electricity_Grid!H17/Enrollment!H17</f>
        <v>802.60941558441561</v>
      </c>
      <c r="I17" s="74">
        <f>Electricity_Grid!I17/Enrollment!I17</f>
        <v>759.59166666666658</v>
      </c>
      <c r="J17" s="75">
        <f>Electricity_Grid!J17/Enrollment!J17</f>
        <v>738.25243553008602</v>
      </c>
      <c r="K17" s="74">
        <f>Electricity_Grid!K17/Enrollment!K17</f>
        <v>652.03042168674699</v>
      </c>
      <c r="L17" s="75">
        <f>Electricity_Grid!L17/Enrollment!L17</f>
        <v>579.52253521126761</v>
      </c>
      <c r="M17" s="74">
        <f>Electricity_Grid!M17/Enrollment!M17</f>
        <v>582.5870206489675</v>
      </c>
      <c r="N17" s="75">
        <f>Electricity_Grid!N17/Enrollment!N17</f>
        <v>570.46396103896097</v>
      </c>
      <c r="O17" s="74">
        <f>Electricity_Grid!O17/Enrollment!O17</f>
        <v>672.1407166123779</v>
      </c>
      <c r="P17" s="75">
        <f>Electricity_Grid!P17/Enrollment!P17</f>
        <v>702.13056478405315</v>
      </c>
      <c r="Q17" s="74">
        <f>Electricity_Grid!Q17/Enrollment!Q17</f>
        <v>682.33377483443701</v>
      </c>
      <c r="R17" s="75">
        <f>Electricity_Grid!R17/Enrollment!R17</f>
        <v>659.68983050847453</v>
      </c>
      <c r="S17" s="74">
        <f>Electricity_Grid!S17/Enrollment!S17</f>
        <v>557.75094339622638</v>
      </c>
      <c r="T17" s="75">
        <f>Electricity_Grid!T17/Enrollment!T17</f>
        <v>768.73146067415723</v>
      </c>
      <c r="U17" s="534">
        <f>Electricity_Grid!U17/Enrollment!U17</f>
        <v>740.73582089552247</v>
      </c>
    </row>
    <row r="18" spans="2:21" ht="16">
      <c r="B18" s="188" t="s">
        <v>31</v>
      </c>
      <c r="C18" s="74">
        <v>339665.9</v>
      </c>
      <c r="D18" s="74">
        <v>358261.3</v>
      </c>
      <c r="E18" s="74">
        <v>368541.6</v>
      </c>
      <c r="F18" s="74">
        <v>381014.8</v>
      </c>
      <c r="G18" s="74">
        <v>416469.7</v>
      </c>
      <c r="H18" s="315">
        <f>Electricity_Grid!H18/Enrollment!H18</f>
        <v>888.26788008565302</v>
      </c>
      <c r="I18" s="178">
        <f>Electricity_Grid!I18/Enrollment!I18</f>
        <v>996.15415676959628</v>
      </c>
      <c r="J18" s="315">
        <f>Electricity_Grid!J18/Enrollment!J18</f>
        <v>863.22795180722881</v>
      </c>
      <c r="K18" s="178">
        <f>Electricity_Grid!K18/Enrollment!K18</f>
        <v>679.1598233995586</v>
      </c>
      <c r="L18" s="315">
        <f>Electricity_Grid!L18/Enrollment!L18</f>
        <v>681.35750577367207</v>
      </c>
      <c r="M18" s="178">
        <f>Electricity_Grid!M18/Enrollment!M18</f>
        <v>636.62452830188681</v>
      </c>
      <c r="N18" s="315">
        <f>Electricity_Grid!N18/Enrollment!N18</f>
        <v>611.98778947368419</v>
      </c>
      <c r="O18" s="178">
        <f>Electricity_Grid!O18/Enrollment!O18</f>
        <v>485.23512974051891</v>
      </c>
      <c r="P18" s="315">
        <f>Electricity_Grid!P18/Enrollment!P18</f>
        <v>460.41264822134383</v>
      </c>
      <c r="Q18" s="178">
        <f>Electricity_Grid!Q18/Enrollment!Q18</f>
        <v>501.37538167938936</v>
      </c>
      <c r="R18" s="315">
        <f>Electricity_Grid!R18/Enrollment!R18</f>
        <v>512.30075187969919</v>
      </c>
      <c r="S18" s="178">
        <f>Electricity_Grid!S18/Enrollment!S18</f>
        <v>489.52226720647775</v>
      </c>
      <c r="T18" s="315">
        <f>Electricity_Grid!T18/Enrollment!T18</f>
        <v>701.61351931330478</v>
      </c>
      <c r="U18" s="533">
        <f>Electricity_Grid!U18/Enrollment!U18</f>
        <v>639.95818181818174</v>
      </c>
    </row>
    <row r="19" spans="2:21" ht="17" thickBot="1">
      <c r="B19" s="188" t="s">
        <v>33</v>
      </c>
      <c r="C19" s="74">
        <v>615786.5</v>
      </c>
      <c r="D19" s="74">
        <v>680475.6</v>
      </c>
      <c r="E19" s="74">
        <v>626506.19999999995</v>
      </c>
      <c r="F19" s="74">
        <v>657926.40000000002</v>
      </c>
      <c r="G19" s="74">
        <v>650219.9</v>
      </c>
      <c r="H19" s="75">
        <f>Electricity_Grid!H19/Enrollment!H19</f>
        <v>1847.2849710982659</v>
      </c>
      <c r="I19" s="74">
        <f>Electricity_Grid!I19/Enrollment!I19</f>
        <v>1790.6775216138328</v>
      </c>
      <c r="J19" s="75">
        <f>Electricity_Grid!J19/Enrollment!J19</f>
        <v>1718.9297752808989</v>
      </c>
      <c r="K19" s="74">
        <f>Electricity_Grid!K19/Enrollment!K19</f>
        <v>1616.7296407185627</v>
      </c>
      <c r="L19" s="75">
        <f>Electricity_Grid!L19/Enrollment!L19</f>
        <v>1629.1939655172414</v>
      </c>
      <c r="M19" s="74">
        <f>Electricity_Grid!M19/Enrollment!M19</f>
        <v>1865.3800595238095</v>
      </c>
      <c r="N19" s="75">
        <f>Electricity_Grid!N19/Enrollment!N19</f>
        <v>1696.1682389937107</v>
      </c>
      <c r="O19" s="74">
        <f>Electricity_Grid!O19/Enrollment!O19</f>
        <v>1902.0565349544072</v>
      </c>
      <c r="P19" s="75">
        <f>Electricity_Grid!P19/Enrollment!P19</f>
        <v>1542.9639498432603</v>
      </c>
      <c r="Q19" s="74">
        <f>Electricity_Grid!Q19/Enrollment!Q19</f>
        <v>1559.9522388059702</v>
      </c>
      <c r="R19" s="75">
        <f>Electricity_Grid!R19/Enrollment!R19</f>
        <v>1217.0158904109589</v>
      </c>
      <c r="S19" s="74">
        <f>Electricity_Grid!S19/Enrollment!S19</f>
        <v>1012.5774480712165</v>
      </c>
      <c r="T19" s="75">
        <f>Electricity_Grid!T19/Enrollment!T19</f>
        <v>1379.2173669467786</v>
      </c>
      <c r="U19" s="534">
        <f>Electricity_Grid!U19/Enrollment!U19</f>
        <v>1240.9240641711228</v>
      </c>
    </row>
    <row r="20" spans="2:21" ht="16">
      <c r="B20" s="188" t="s">
        <v>74</v>
      </c>
      <c r="C20" s="74">
        <v>689092.9</v>
      </c>
      <c r="D20" s="74">
        <v>702004.9</v>
      </c>
      <c r="E20" s="74">
        <v>644399.9</v>
      </c>
      <c r="F20" s="74">
        <v>638133.69999999995</v>
      </c>
      <c r="G20" s="74">
        <v>607016.1</v>
      </c>
      <c r="H20" s="315">
        <f>Electricity_Grid!H20/Enrollment!H20</f>
        <v>1256.5176591375769</v>
      </c>
      <c r="I20" s="178">
        <f>Electricity_Grid!I20/Enrollment!I20</f>
        <v>1081.6986027944113</v>
      </c>
      <c r="J20" s="315">
        <f>Electricity_Grid!J20/Enrollment!J20</f>
        <v>1033.9548902195609</v>
      </c>
      <c r="K20" s="178">
        <f>Electricity_Grid!K20/Enrollment!K20</f>
        <v>964.19257812499995</v>
      </c>
      <c r="L20" s="315">
        <f>Electricity_Grid!L20/Enrollment!L20</f>
        <v>912.64951267056529</v>
      </c>
      <c r="M20" s="178">
        <f>Electricity_Grid!M20/Enrollment!M20</f>
        <v>1028.961</v>
      </c>
      <c r="N20" s="315">
        <f>Electricity_Grid!N20/Enrollment!N20</f>
        <v>998.23481481481485</v>
      </c>
      <c r="O20" s="178">
        <f>Electricity_Grid!O20/Enrollment!O20</f>
        <v>1192.3325757575758</v>
      </c>
      <c r="P20" s="315">
        <f>Electricity_Grid!P20/Enrollment!P20</f>
        <v>809.44362934362937</v>
      </c>
      <c r="Q20" s="178">
        <f>Electricity_Grid!Q20/Enrollment!Q20</f>
        <v>429.7575815738964</v>
      </c>
      <c r="R20" s="315">
        <f>Electricity_Grid!R20/Enrollment!R20</f>
        <v>350.80230326295583</v>
      </c>
      <c r="S20" s="178">
        <f>Electricity_Grid!S20/Enrollment!S20</f>
        <v>60.485981308411212</v>
      </c>
      <c r="T20" s="315">
        <f>Electricity_Grid!T20/Enrollment!T20</f>
        <v>370.17290448343084</v>
      </c>
      <c r="U20" s="533">
        <f>Electricity_Grid!U20/Enrollment!U20</f>
        <v>411.07475915221579</v>
      </c>
    </row>
    <row r="21" spans="2:21" ht="17" thickBot="1">
      <c r="B21" s="188" t="s">
        <v>36</v>
      </c>
      <c r="C21" s="75">
        <v>252946</v>
      </c>
      <c r="D21" s="75">
        <v>260025.60000000001</v>
      </c>
      <c r="E21" s="75">
        <v>243136</v>
      </c>
      <c r="F21" s="75">
        <v>267954.09999999998</v>
      </c>
      <c r="G21" s="75">
        <v>306217</v>
      </c>
      <c r="H21" s="75">
        <f>Electricity_Grid!H21/Enrollment!H21</f>
        <v>1019.3129496402878</v>
      </c>
      <c r="I21" s="74">
        <f>Electricity_Grid!I21/Enrollment!I21</f>
        <v>1108.5538461538461</v>
      </c>
      <c r="J21" s="75">
        <f>Electricity_Grid!J21/Enrollment!J21</f>
        <v>884.29473684210529</v>
      </c>
      <c r="K21" s="74">
        <f>Electricity_Grid!K21/Enrollment!K21</f>
        <v>703.8928315412187</v>
      </c>
      <c r="L21" s="75">
        <f>Electricity_Grid!L21/Enrollment!L21</f>
        <v>724.94782608695652</v>
      </c>
      <c r="M21" s="74">
        <f>Electricity_Grid!M21/Enrollment!M21</f>
        <v>735.40254545454547</v>
      </c>
      <c r="N21" s="75">
        <f>Electricity_Grid!N21/Enrollment!N21</f>
        <v>1170.6403785488958</v>
      </c>
      <c r="O21" s="74">
        <f>Electricity_Grid!O21/Enrollment!O21</f>
        <v>726.98815426997248</v>
      </c>
      <c r="P21" s="75">
        <f>Electricity_Grid!P21/Enrollment!P21</f>
        <v>647.11741293532339</v>
      </c>
      <c r="Q21" s="74">
        <f>Electricity_Grid!Q21/Enrollment!Q21</f>
        <v>649.35270588235301</v>
      </c>
      <c r="R21" s="75">
        <f>Electricity_Grid!R21/Enrollment!R21</f>
        <v>661.22115869017625</v>
      </c>
      <c r="S21" s="74">
        <f>Electricity_Grid!S21/Enrollment!S21</f>
        <v>530.30206896551726</v>
      </c>
      <c r="T21" s="75">
        <f>Electricity_Grid!T21/Enrollment!T21</f>
        <v>606.08486140724949</v>
      </c>
      <c r="U21" s="534">
        <f>Electricity_Grid!U21/Enrollment!U21</f>
        <v>670.10600961538455</v>
      </c>
    </row>
    <row r="22" spans="2:21" ht="16">
      <c r="B22" s="188" t="s">
        <v>67</v>
      </c>
      <c r="C22" s="74">
        <v>274090.40000000002</v>
      </c>
      <c r="D22" s="74">
        <v>270944</v>
      </c>
      <c r="E22" s="74">
        <v>252833.6</v>
      </c>
      <c r="F22" s="74">
        <v>262104.8</v>
      </c>
      <c r="G22" s="74">
        <v>282815.7</v>
      </c>
      <c r="H22" s="315">
        <f>Electricity_Grid!H22/Enrollment!H22</f>
        <v>1027.9654545454546</v>
      </c>
      <c r="I22" s="178">
        <f>Electricity_Grid!I22/Enrollment!I22</f>
        <v>1090.85444015444</v>
      </c>
      <c r="J22" s="315">
        <f>Electricity_Grid!J22/Enrollment!J22</f>
        <v>1010.6086206896553</v>
      </c>
      <c r="K22" s="178">
        <f>Electricity_Grid!K22/Enrollment!K22</f>
        <v>847.50596330275221</v>
      </c>
      <c r="L22" s="315">
        <f>Electricity_Grid!L22/Enrollment!L22</f>
        <v>1045.2656084656085</v>
      </c>
      <c r="M22" s="178">
        <f>Electricity_Grid!M22/Enrollment!M22</f>
        <v>616.74168734491309</v>
      </c>
      <c r="N22" s="315">
        <f>Electricity_Grid!N22/Enrollment!N22</f>
        <v>588.86091081593929</v>
      </c>
      <c r="O22" s="178">
        <f>Electricity_Grid!O22/Enrollment!O22</f>
        <v>623.8639398998331</v>
      </c>
      <c r="P22" s="315">
        <f>Electricity_Grid!P22/Enrollment!P22</f>
        <v>579.23019801980195</v>
      </c>
      <c r="Q22" s="178">
        <f>Electricity_Grid!Q22/Enrollment!Q22</f>
        <v>463.82599049128368</v>
      </c>
      <c r="R22" s="315">
        <f>Electricity_Grid!R22/Enrollment!R22</f>
        <v>427.3865930599369</v>
      </c>
      <c r="S22" s="178">
        <f>Electricity_Grid!S22/Enrollment!S22</f>
        <v>405.30793650793652</v>
      </c>
      <c r="T22" s="315">
        <f>Electricity_Grid!T22/Enrollment!T22</f>
        <v>677.92978003384098</v>
      </c>
      <c r="U22" s="533">
        <f>Electricity_Grid!U22/Enrollment!U22</f>
        <v>395.12028985507249</v>
      </c>
    </row>
    <row r="23" spans="2:21" ht="17" thickBot="1">
      <c r="B23" s="188" t="s">
        <v>39</v>
      </c>
      <c r="C23" s="75">
        <v>320743.90000000002</v>
      </c>
      <c r="D23" s="75">
        <v>347396</v>
      </c>
      <c r="E23" s="75">
        <v>289725.59999999998</v>
      </c>
      <c r="F23" s="75">
        <v>305080</v>
      </c>
      <c r="G23" s="75">
        <v>342312.7</v>
      </c>
      <c r="H23" s="75">
        <f>Electricity_Grid!H23/Enrollment!H23</f>
        <v>991.78429487179494</v>
      </c>
      <c r="I23" s="74">
        <f>Electricity_Grid!I23/Enrollment!I23</f>
        <v>981.92204968944111</v>
      </c>
      <c r="J23" s="75">
        <f>Electricity_Grid!J23/Enrollment!J23</f>
        <v>917.38693009118538</v>
      </c>
      <c r="K23" s="74">
        <f>Electricity_Grid!K23/Enrollment!K23</f>
        <v>807.79151515151523</v>
      </c>
      <c r="L23" s="75">
        <f>Electricity_Grid!L23/Enrollment!L23</f>
        <v>652.80264705882348</v>
      </c>
      <c r="M23" s="74">
        <f>Electricity_Grid!M23/Enrollment!M23</f>
        <v>734.77784431137718</v>
      </c>
      <c r="N23" s="75">
        <f>Electricity_Grid!N23/Enrollment!N23</f>
        <v>842.66736842105263</v>
      </c>
      <c r="O23" s="74">
        <f>Electricity_Grid!O23/Enrollment!O23</f>
        <v>884.71812080536915</v>
      </c>
      <c r="P23" s="75">
        <f>Electricity_Grid!P23/Enrollment!P23</f>
        <v>789.44602649006629</v>
      </c>
      <c r="Q23" s="74">
        <f>Electricity_Grid!Q23/Enrollment!Q23</f>
        <v>982.49166666666667</v>
      </c>
      <c r="R23" s="75">
        <f>Electricity_Grid!R23/Enrollment!R23</f>
        <v>918.63715415019772</v>
      </c>
      <c r="S23" s="74">
        <f>Electricity_Grid!S23/Enrollment!S23</f>
        <v>748.36336206896544</v>
      </c>
      <c r="T23" s="75">
        <f>Electricity_Grid!T23/Enrollment!T23</f>
        <v>987.41818181818178</v>
      </c>
      <c r="U23" s="534">
        <f>Electricity_Grid!U23/Enrollment!U23</f>
        <v>861.95219298245615</v>
      </c>
    </row>
    <row r="24" spans="2:21" ht="16">
      <c r="B24" s="188" t="s">
        <v>41</v>
      </c>
      <c r="C24" s="74">
        <v>226938.6</v>
      </c>
      <c r="D24" s="74">
        <v>222228</v>
      </c>
      <c r="E24" s="74">
        <v>232763.6</v>
      </c>
      <c r="F24" s="74">
        <v>234749.1</v>
      </c>
      <c r="G24" s="74">
        <v>286007.2</v>
      </c>
      <c r="H24" s="315">
        <f>Electricity_Grid!H24/Enrollment!H24</f>
        <v>1296.9162995594713</v>
      </c>
      <c r="I24" s="178">
        <f>Electricity_Grid!I24/Enrollment!I24</f>
        <v>1035.5555555555557</v>
      </c>
      <c r="J24" s="315">
        <f>Electricity_Grid!J24/Enrollment!J24</f>
        <v>871.76692607003895</v>
      </c>
      <c r="K24" s="178">
        <f>Electricity_Grid!K24/Enrollment!K24</f>
        <v>803.81585365853664</v>
      </c>
      <c r="L24" s="315">
        <f>Electricity_Grid!L24/Enrollment!L24</f>
        <v>809.94602510460254</v>
      </c>
      <c r="M24" s="178">
        <f>Electricity_Grid!M24/Enrollment!M24</f>
        <v>797.2177419354839</v>
      </c>
      <c r="N24" s="315">
        <f>Electricity_Grid!N24/Enrollment!N24</f>
        <v>827.80040983606557</v>
      </c>
      <c r="O24" s="178">
        <f>Electricity_Grid!O24/Enrollment!O24</f>
        <v>882.54566929133864</v>
      </c>
      <c r="P24" s="315">
        <f>Electricity_Grid!P24/Enrollment!P24</f>
        <v>908.83294117647051</v>
      </c>
      <c r="Q24" s="178">
        <f>Electricity_Grid!Q24/Enrollment!Q24</f>
        <v>793.84581818181823</v>
      </c>
      <c r="R24" s="315">
        <f>Electricity_Grid!R24/Enrollment!R24</f>
        <v>741.97080291970804</v>
      </c>
      <c r="S24" s="178">
        <f>Electricity_Grid!S24/Enrollment!S24</f>
        <v>623.4375</v>
      </c>
      <c r="T24" s="315">
        <f>Electricity_Grid!T24/Enrollment!T24</f>
        <v>1039.3596</v>
      </c>
      <c r="U24" s="533">
        <f>Electricity_Grid!U24/Enrollment!U24</f>
        <v>1053.0149377593361</v>
      </c>
    </row>
    <row r="25" spans="2:21" ht="16">
      <c r="B25" s="188" t="s">
        <v>44</v>
      </c>
      <c r="C25" s="74">
        <v>291060</v>
      </c>
      <c r="D25" s="74">
        <v>298504.09999999998</v>
      </c>
      <c r="E25" s="74">
        <v>340959.4</v>
      </c>
      <c r="F25" s="74">
        <v>329036.40000000002</v>
      </c>
      <c r="G25" s="74">
        <v>369359.4</v>
      </c>
      <c r="H25" s="75">
        <f>Electricity_Grid!H25/Enrollment!H25</f>
        <v>814.25208333333342</v>
      </c>
      <c r="I25" s="74">
        <f>Electricity_Grid!I25/Enrollment!I25</f>
        <v>809.38468899521524</v>
      </c>
      <c r="J25" s="75">
        <f>Electricity_Grid!J25/Enrollment!J25</f>
        <v>826.53031088082901</v>
      </c>
      <c r="K25" s="74">
        <f>Electricity_Grid!K25/Enrollment!K25</f>
        <v>611.72783018867926</v>
      </c>
      <c r="L25" s="75">
        <f>Electricity_Grid!L25/Enrollment!L25</f>
        <v>607.51658878504679</v>
      </c>
      <c r="M25" s="74">
        <f>Electricity_Grid!M25/Enrollment!M25</f>
        <v>666.15419664268586</v>
      </c>
      <c r="N25" s="75">
        <f>Electricity_Grid!N25/Enrollment!N25</f>
        <v>532.50108459869853</v>
      </c>
      <c r="O25" s="74">
        <f>Electricity_Grid!O25/Enrollment!O25</f>
        <v>656.73168539325843</v>
      </c>
      <c r="P25" s="75">
        <f>Electricity_Grid!P25/Enrollment!P25</f>
        <v>764.23935091277895</v>
      </c>
      <c r="Q25" s="74">
        <f>Electricity_Grid!Q25/Enrollment!Q25</f>
        <v>726.32270058708423</v>
      </c>
      <c r="R25" s="75">
        <f>Electricity_Grid!R25/Enrollment!R25</f>
        <v>639.89759036144574</v>
      </c>
      <c r="S25" s="74">
        <f>Electricity_Grid!S25/Enrollment!S25</f>
        <v>475.59748427672957</v>
      </c>
      <c r="T25" s="75">
        <f>Electricity_Grid!T25/Enrollment!T25</f>
        <v>850.49019607843138</v>
      </c>
      <c r="U25" s="534">
        <f>Electricity_Grid!U25/Enrollment!U25</f>
        <v>801.71140000000003</v>
      </c>
    </row>
    <row r="26" spans="2:21" ht="16">
      <c r="B26" s="188" t="s">
        <v>46</v>
      </c>
      <c r="C26" s="70" t="s">
        <v>97</v>
      </c>
      <c r="D26" s="70"/>
      <c r="E26" s="70"/>
      <c r="F26" s="70"/>
      <c r="G26" s="70"/>
      <c r="H26" s="682" t="s">
        <v>97</v>
      </c>
      <c r="I26" s="683"/>
      <c r="J26" s="684"/>
      <c r="K26" s="70"/>
      <c r="L26" s="70"/>
      <c r="M26" s="70"/>
      <c r="N26" s="70"/>
      <c r="O26" s="70"/>
      <c r="P26" s="70"/>
      <c r="Q26" s="70"/>
      <c r="R26" s="70"/>
      <c r="S26" s="70"/>
      <c r="T26" s="70"/>
      <c r="U26" s="528"/>
    </row>
    <row r="27" spans="2:21" ht="16">
      <c r="B27" s="188" t="s">
        <v>49</v>
      </c>
      <c r="C27" s="74">
        <v>1273330.2</v>
      </c>
      <c r="D27" s="74">
        <v>1164509.6000000001</v>
      </c>
      <c r="E27" s="74">
        <v>1140327.8999999999</v>
      </c>
      <c r="F27" s="74">
        <v>1133206.5</v>
      </c>
      <c r="G27" s="74">
        <v>1057944.8999999999</v>
      </c>
      <c r="H27" s="75">
        <f>Electricity_Grid!H27/Enrollment!H27</f>
        <v>1429.7041265474554</v>
      </c>
      <c r="I27" s="74">
        <f>Electricity_Grid!I27/Enrollment!I27</f>
        <v>1329.4804166666668</v>
      </c>
      <c r="J27" s="75">
        <f>Electricity_Grid!J27/Enrollment!J27</f>
        <v>1189.2908730158731</v>
      </c>
      <c r="K27" s="74">
        <f>Electricity_Grid!K27/Enrollment!K27</f>
        <v>1063.0905277401894</v>
      </c>
      <c r="L27" s="75">
        <f>Electricity_Grid!L27/Enrollment!L27</f>
        <v>1027.6035260930889</v>
      </c>
      <c r="M27" s="74">
        <f>Electricity_Grid!M27/Enrollment!M27</f>
        <v>1214.3284866468844</v>
      </c>
      <c r="N27" s="75">
        <f>Electricity_Grid!N27/Enrollment!N27</f>
        <v>1283.2063664596274</v>
      </c>
      <c r="O27" s="74">
        <f>Electricity_Grid!O27/Enrollment!O27</f>
        <v>1374.8155523255814</v>
      </c>
      <c r="P27" s="75">
        <f>Electricity_Grid!P27/Enrollment!P27</f>
        <v>1476.8593607305936</v>
      </c>
      <c r="Q27" s="74">
        <f>Electricity_Grid!Q27/Enrollment!Q27</f>
        <v>1456.5128166915051</v>
      </c>
      <c r="R27" s="75">
        <f>Electricity_Grid!R27/Enrollment!R27</f>
        <v>1437.2597922848665</v>
      </c>
      <c r="S27" s="74">
        <f>Electricity_Grid!S27/Enrollment!S27</f>
        <v>1173.8122881355932</v>
      </c>
      <c r="T27" s="75">
        <f>Electricity_Grid!T27/Enrollment!T27</f>
        <v>1673.8072254335261</v>
      </c>
      <c r="U27" s="534">
        <f>Electricity_Grid!U27/Enrollment!U27</f>
        <v>1620.5656432748538</v>
      </c>
    </row>
    <row r="28" spans="2:21" ht="16">
      <c r="B28" s="188" t="s">
        <v>51</v>
      </c>
      <c r="C28" s="74">
        <v>1421161.4</v>
      </c>
      <c r="D28" s="74">
        <v>1372019.4</v>
      </c>
      <c r="E28" s="74">
        <v>1373093.5</v>
      </c>
      <c r="F28" s="74">
        <v>1297464.6000000001</v>
      </c>
      <c r="G28" s="74">
        <v>1469912.6</v>
      </c>
      <c r="H28" s="75">
        <f>Electricity_Grid!H28/Enrollment!H28</f>
        <v>1388.5683604985618</v>
      </c>
      <c r="I28" s="74">
        <f>Electricity_Grid!I28/Enrollment!I28</f>
        <v>1407.5680672268907</v>
      </c>
      <c r="J28" s="75">
        <f>Electricity_Grid!J28/Enrollment!J28</f>
        <v>1077.2778880866424</v>
      </c>
      <c r="K28" s="74">
        <f>Electricity_Grid!K28/Enrollment!K28</f>
        <v>962.80872359963269</v>
      </c>
      <c r="L28" s="75">
        <f>Electricity_Grid!L28/Enrollment!L28</f>
        <v>901.01813333333337</v>
      </c>
      <c r="M28" s="74">
        <f>Electricity_Grid!M28/Enrollment!M28</f>
        <v>957.43146979260598</v>
      </c>
      <c r="N28" s="75">
        <f>Electricity_Grid!N28/Enrollment!N28</f>
        <v>934.04083629893228</v>
      </c>
      <c r="O28" s="74">
        <f>Electricity_Grid!O28/Enrollment!O28</f>
        <v>1043.8612644701691</v>
      </c>
      <c r="P28" s="75">
        <f>Electricity_Grid!P28/Enrollment!P28</f>
        <v>1100.1180701754388</v>
      </c>
      <c r="Q28" s="74">
        <f>Electricity_Grid!Q28/Enrollment!Q28</f>
        <v>1148.420245398773</v>
      </c>
      <c r="R28" s="75">
        <f>Electricity_Grid!R28/Enrollment!R28</f>
        <v>987.2495119787045</v>
      </c>
      <c r="S28" s="74">
        <f>Electricity_Grid!S28/Enrollment!S28</f>
        <v>808.30214424951271</v>
      </c>
      <c r="T28" s="75">
        <f>Electricity_Grid!T28/Enrollment!T28</f>
        <v>1276.4766287487073</v>
      </c>
      <c r="U28" s="534">
        <f>Electricity_Grid!U28/Enrollment!U28</f>
        <v>985.51618911174785</v>
      </c>
    </row>
    <row r="29" spans="2:21" ht="16">
      <c r="B29" s="188" t="s">
        <v>53</v>
      </c>
      <c r="C29" s="74">
        <v>887964.6</v>
      </c>
      <c r="D29" s="74">
        <v>956144.2</v>
      </c>
      <c r="E29" s="74">
        <v>1312058.3999999999</v>
      </c>
      <c r="F29" s="74">
        <v>1399713.8</v>
      </c>
      <c r="G29" s="74">
        <v>1274704.1000000001</v>
      </c>
      <c r="H29" s="75">
        <f>Electricity_Grid!H29/Enrollment!H29</f>
        <v>2132.9472118959111</v>
      </c>
      <c r="I29" s="74">
        <f>Electricity_Grid!I29/Enrollment!I29</f>
        <v>2028.1324607329841</v>
      </c>
      <c r="J29" s="75">
        <f>Electricity_Grid!J29/Enrollment!J29</f>
        <v>2174.6017475728154</v>
      </c>
      <c r="K29" s="74">
        <f>Electricity_Grid!K29/Enrollment!K29</f>
        <v>1935.0592079207922</v>
      </c>
      <c r="L29" s="75">
        <f>Electricity_Grid!L29/Enrollment!L29</f>
        <v>1803.2168032786885</v>
      </c>
      <c r="M29" s="74">
        <f>Electricity_Grid!M29/Enrollment!M29</f>
        <v>1525.521863799283</v>
      </c>
      <c r="N29" s="75">
        <f>Electricity_Grid!N29/Enrollment!N29</f>
        <v>1638.2337349397592</v>
      </c>
      <c r="O29" s="74">
        <f>Electricity_Grid!O29/Enrollment!O29</f>
        <v>1902.5707105719239</v>
      </c>
      <c r="P29" s="75">
        <f>Electricity_Grid!P29/Enrollment!P29</f>
        <v>1756.8753225806452</v>
      </c>
      <c r="Q29" s="74">
        <f>Electricity_Grid!Q29/Enrollment!Q29</f>
        <v>1710.3926517571886</v>
      </c>
      <c r="R29" s="75">
        <f>Electricity_Grid!R29/Enrollment!R29</f>
        <v>1531.2604100946371</v>
      </c>
      <c r="S29" s="74">
        <f>Electricity_Grid!S29/Enrollment!S29</f>
        <v>1191.5595317725752</v>
      </c>
      <c r="T29" s="75">
        <f>Electricity_Grid!T29/Enrollment!T29</f>
        <v>2118.470792079208</v>
      </c>
      <c r="U29" s="534">
        <f>Electricity_Grid!U29/Enrollment!U29</f>
        <v>2164.2191588785045</v>
      </c>
    </row>
    <row r="30" spans="2:21" ht="16">
      <c r="B30" s="188" t="s">
        <v>55</v>
      </c>
      <c r="C30" s="74">
        <v>1328591.8999999999</v>
      </c>
      <c r="D30" s="74">
        <v>1322764</v>
      </c>
      <c r="E30" s="74">
        <v>1210203.8999999999</v>
      </c>
      <c r="F30" s="74">
        <v>1191870.5</v>
      </c>
      <c r="G30" s="74">
        <v>1132853.1000000001</v>
      </c>
      <c r="H30" s="75">
        <f>Electricity_Grid!H30/Enrollment!H30</f>
        <v>1532.2409470752089</v>
      </c>
      <c r="I30" s="74">
        <f>Electricity_Grid!I30/Enrollment!I30</f>
        <v>1147.8889192886459</v>
      </c>
      <c r="J30" s="75">
        <f>Electricity_Grid!J30/Enrollment!J30</f>
        <v>1021.5381456953643</v>
      </c>
      <c r="K30" s="74">
        <f>Electricity_Grid!K30/Enrollment!K30</f>
        <v>906.11535433070867</v>
      </c>
      <c r="L30" s="75">
        <f>Electricity_Grid!L30/Enrollment!L30</f>
        <v>811.94746423927177</v>
      </c>
      <c r="M30" s="74">
        <f>Electricity_Grid!M30/Enrollment!M30</f>
        <v>883.31367187500007</v>
      </c>
      <c r="N30" s="75">
        <f>Electricity_Grid!N30/Enrollment!N30</f>
        <v>1007.2173745173745</v>
      </c>
      <c r="O30" s="74">
        <f>Electricity_Grid!O30/Enrollment!O30</f>
        <v>1084.8988721804512</v>
      </c>
      <c r="P30" s="75">
        <f>Electricity_Grid!P30/Enrollment!P30</f>
        <v>1144.8947164948454</v>
      </c>
      <c r="Q30" s="74">
        <f>Electricity_Grid!Q30/Enrollment!Q30</f>
        <v>1135.6276773296245</v>
      </c>
      <c r="R30" s="75">
        <f>Electricity_Grid!R30/Enrollment!R30</f>
        <v>1023.5135251798562</v>
      </c>
      <c r="S30" s="74">
        <f>Electricity_Grid!S30/Enrollment!S30</f>
        <v>790.05919540229877</v>
      </c>
      <c r="T30" s="75">
        <f>Electricity_Grid!T30/Enrollment!T30</f>
        <v>1385.9059829059829</v>
      </c>
      <c r="U30" s="534">
        <f>Electricity_Grid!U30/Enrollment!U30</f>
        <v>1376.9962059620595</v>
      </c>
    </row>
    <row r="31" spans="2:21" ht="16">
      <c r="B31" s="188" t="s">
        <v>57</v>
      </c>
      <c r="C31" s="74">
        <v>949506.9</v>
      </c>
      <c r="D31" s="74">
        <v>946348.6</v>
      </c>
      <c r="E31" s="74">
        <v>906338.6</v>
      </c>
      <c r="F31" s="74">
        <v>864056.4</v>
      </c>
      <c r="G31" s="74">
        <v>1109269.2</v>
      </c>
      <c r="H31" s="75">
        <f>Electricity_Grid!H31/Enrollment!H31</f>
        <v>1356.249653259362</v>
      </c>
      <c r="I31" s="74">
        <f>Electricity_Grid!I31/Enrollment!I31</f>
        <v>1261.8421853388659</v>
      </c>
      <c r="J31" s="75">
        <f>Electricity_Grid!J31/Enrollment!J31</f>
        <v>1085.0930422919507</v>
      </c>
      <c r="K31" s="74">
        <f>Electricity_Grid!K31/Enrollment!K31</f>
        <v>987.80092470277418</v>
      </c>
      <c r="L31" s="75">
        <f>Electricity_Grid!L31/Enrollment!L31</f>
        <v>817.84382632293079</v>
      </c>
      <c r="M31" s="74">
        <f>Electricity_Grid!M31/Enrollment!M31</f>
        <v>1019.8560975609756</v>
      </c>
      <c r="N31" s="75">
        <f>Electricity_Grid!N31/Enrollment!N31</f>
        <v>969.27682119205303</v>
      </c>
      <c r="O31" s="74">
        <f>Electricity_Grid!O31/Enrollment!O31</f>
        <v>1121.2481241914618</v>
      </c>
      <c r="P31" s="75">
        <f>Electricity_Grid!P31/Enrollment!P31</f>
        <v>1091.3228682170543</v>
      </c>
      <c r="Q31" s="74">
        <f>Electricity_Grid!Q31/Enrollment!Q31</f>
        <v>1120.44</v>
      </c>
      <c r="R31" s="75">
        <f>Electricity_Grid!R31/Enrollment!R31</f>
        <v>1054.7812332439678</v>
      </c>
      <c r="S31" s="74">
        <f>Electricity_Grid!S31/Enrollment!S31</f>
        <v>913.58630872483229</v>
      </c>
      <c r="T31" s="75">
        <f>Electricity_Grid!T31/Enrollment!T31</f>
        <v>1521.2611028315946</v>
      </c>
      <c r="U31" s="534">
        <f>Electricity_Grid!U31/Enrollment!U31</f>
        <v>2552.1398507462686</v>
      </c>
    </row>
    <row r="32" spans="2:21" ht="16">
      <c r="B32" s="188" t="s">
        <v>68</v>
      </c>
      <c r="C32" s="74">
        <v>228266.7</v>
      </c>
      <c r="D32" s="74">
        <v>256106.6</v>
      </c>
      <c r="E32" s="74">
        <v>272702.90000000002</v>
      </c>
      <c r="F32" s="74">
        <v>300609.59999999998</v>
      </c>
      <c r="G32" s="74">
        <v>279919.3</v>
      </c>
      <c r="H32" s="75">
        <f>Electricity_Grid!H32/Enrollment!H32</f>
        <v>2202.46015037594</v>
      </c>
      <c r="I32" s="74">
        <f>Electricity_Grid!I32/Enrollment!I32</f>
        <v>1996.9901515151516</v>
      </c>
      <c r="J32" s="75">
        <f>Electricity_Grid!J32/Enrollment!J32</f>
        <v>1912.896062992126</v>
      </c>
      <c r="K32" s="74">
        <f>Electricity_Grid!K32/Enrollment!K32</f>
        <v>2094.1205128205129</v>
      </c>
      <c r="L32" s="75">
        <f>Electricity_Grid!L32/Enrollment!L32</f>
        <v>2148.1132075471696</v>
      </c>
      <c r="M32" s="74">
        <f>Electricity_Grid!M32/Enrollment!M32</f>
        <v>1216.5812807881773</v>
      </c>
      <c r="N32" s="75">
        <f>Electricity_Grid!N32/Enrollment!N32</f>
        <v>1336.8645714285713</v>
      </c>
      <c r="O32" s="74">
        <f>Electricity_Grid!O32/Enrollment!O32</f>
        <v>1783.049677419355</v>
      </c>
      <c r="P32" s="75">
        <f>Electricity_Grid!P32/Enrollment!P32</f>
        <v>1882.8169014084508</v>
      </c>
      <c r="Q32" s="74">
        <f>Electricity_Grid!Q32/Enrollment!Q32</f>
        <v>3006.9473684210525</v>
      </c>
      <c r="R32" s="75">
        <f>Electricity_Grid!R32/Enrollment!R32</f>
        <v>1362.6595744680851</v>
      </c>
      <c r="S32" s="74">
        <f>Electricity_Grid!S32/Enrollment!S32</f>
        <v>1139.1459016393444</v>
      </c>
      <c r="T32" s="75">
        <f>Electricity_Grid!T32/Enrollment!T32</f>
        <v>1296.7893805309736</v>
      </c>
      <c r="U32" s="534">
        <f>Electricity_Grid!U32/Enrollment!U32</f>
        <v>1455.9246305418719</v>
      </c>
    </row>
    <row r="33" spans="2:21" ht="16">
      <c r="B33" s="188" t="s">
        <v>59</v>
      </c>
      <c r="C33" s="74">
        <v>4214606.5</v>
      </c>
      <c r="D33" s="74">
        <v>4253330.4000000004</v>
      </c>
      <c r="E33" s="74">
        <v>4487304.2</v>
      </c>
      <c r="F33" s="74">
        <v>4620267.9000000004</v>
      </c>
      <c r="G33" s="74">
        <v>4826506.0999999996</v>
      </c>
      <c r="H33" s="75">
        <f>Electricity_Grid!H33/Enrollment!H33</f>
        <v>2601.7309724564366</v>
      </c>
      <c r="I33" s="74">
        <f>Electricity_Grid!I33/Enrollment!I33</f>
        <v>2762.4370393120394</v>
      </c>
      <c r="J33" s="75">
        <f>Electricity_Grid!J33/Enrollment!J33</f>
        <v>2486.716271820449</v>
      </c>
      <c r="K33" s="74">
        <f>Electricity_Grid!K33/Enrollment!K33</f>
        <v>2317.6458721291124</v>
      </c>
      <c r="L33" s="75">
        <f>Electricity_Grid!L33/Enrollment!L33</f>
        <v>2445.485280528053</v>
      </c>
      <c r="M33" s="74">
        <f>Electricity_Grid!M33/Enrollment!M33</f>
        <v>2615.949203187251</v>
      </c>
      <c r="N33" s="75">
        <f>Electricity_Grid!N33/Enrollment!N33</f>
        <v>2571.6204939919894</v>
      </c>
      <c r="O33" s="74">
        <f>Electricity_Grid!O33/Enrollment!O33</f>
        <v>2869.89921976593</v>
      </c>
      <c r="P33" s="75">
        <f>Electricity_Grid!P33/Enrollment!P33</f>
        <v>2503.3520590043022</v>
      </c>
      <c r="Q33" s="74">
        <f>Electricity_Grid!Q33/Enrollment!Q33</f>
        <v>2539.7626162790698</v>
      </c>
      <c r="R33" s="75">
        <f>Electricity_Grid!R33/Enrollment!R33</f>
        <v>2496.5783221065522</v>
      </c>
      <c r="S33" s="74">
        <f>Electricity_Grid!S33/Enrollment!S33</f>
        <v>1958.2507730364873</v>
      </c>
      <c r="T33" s="75">
        <f>Electricity_Grid!T33/Enrollment!T33</f>
        <v>2498.9069325153373</v>
      </c>
      <c r="U33" s="534">
        <f>Electricity_Grid!U33/Enrollment!U33</f>
        <v>2123.7532875929101</v>
      </c>
    </row>
    <row r="34" spans="2:21" ht="16">
      <c r="B34" s="188" t="s">
        <v>61</v>
      </c>
      <c r="C34" s="74">
        <v>4227895.7</v>
      </c>
      <c r="D34" s="74">
        <v>4177114.3</v>
      </c>
      <c r="E34" s="74">
        <v>4420321.5</v>
      </c>
      <c r="F34" s="74">
        <v>4502082.4000000004</v>
      </c>
      <c r="G34" s="74">
        <v>4505429.5999999996</v>
      </c>
      <c r="H34" s="75">
        <f>Electricity_Grid!H34/Enrollment!H34</f>
        <v>1922.0083296606435</v>
      </c>
      <c r="I34" s="74">
        <f>Electricity_Grid!I34/Enrollment!I34</f>
        <v>2151.547120418848</v>
      </c>
      <c r="J34" s="75">
        <f>Electricity_Grid!J34/Enrollment!J34</f>
        <v>2269.7422222222222</v>
      </c>
      <c r="K34" s="74">
        <f>Electricity_Grid!K34/Enrollment!K34</f>
        <v>2168.2062992125984</v>
      </c>
      <c r="L34" s="75">
        <f>Electricity_Grid!L34/Enrollment!L34</f>
        <v>2081.7558082360174</v>
      </c>
      <c r="M34" s="74">
        <f>Electricity_Grid!M34/Enrollment!M34</f>
        <v>2027.9609085475195</v>
      </c>
      <c r="N34" s="75">
        <f>Electricity_Grid!N34/Enrollment!N34</f>
        <v>1881.4233847913092</v>
      </c>
      <c r="O34" s="74">
        <f>Electricity_Grid!O34/Enrollment!O34</f>
        <v>2028.1148732394365</v>
      </c>
      <c r="P34" s="75">
        <f>Electricity_Grid!P34/Enrollment!P34</f>
        <v>1903.6278814489572</v>
      </c>
      <c r="Q34" s="74">
        <f>Electricity_Grid!Q34/Enrollment!Q34</f>
        <v>1840.9787755102041</v>
      </c>
      <c r="R34" s="75">
        <f>Electricity_Grid!R34/Enrollment!R34</f>
        <v>1718.7276694045174</v>
      </c>
      <c r="S34" s="74">
        <f>Electricity_Grid!S34/Enrollment!S34</f>
        <v>1534.1975860297896</v>
      </c>
      <c r="T34" s="75">
        <f>Electricity_Grid!T34/Enrollment!T34</f>
        <v>1969.0826687931951</v>
      </c>
      <c r="U34" s="534">
        <f>Electricity_Grid!U34/Enrollment!U34</f>
        <v>2230.9079532163742</v>
      </c>
    </row>
    <row r="35" spans="2:21" ht="16">
      <c r="B35" s="188" t="s">
        <v>95</v>
      </c>
      <c r="C35" s="74">
        <v>299649</v>
      </c>
      <c r="D35" s="74">
        <v>274436</v>
      </c>
      <c r="E35" s="74">
        <v>277200</v>
      </c>
      <c r="F35" s="74">
        <v>330740.59999999998</v>
      </c>
      <c r="G35" s="74">
        <v>362795.9</v>
      </c>
      <c r="H35" s="75">
        <f>Electricity_Grid!H35/Enrollment!H35</f>
        <v>679.93471933471926</v>
      </c>
      <c r="I35" s="74">
        <f>Electricity_Grid!I35/Enrollment!I35</f>
        <v>680.66339468302658</v>
      </c>
      <c r="J35" s="75">
        <f>Electricity_Grid!J35/Enrollment!J35</f>
        <v>666.2259958071279</v>
      </c>
      <c r="K35" s="74">
        <f>Electricity_Grid!K35/Enrollment!K35</f>
        <v>610.36659619450324</v>
      </c>
      <c r="L35" s="75">
        <f>Electricity_Grid!L35/Enrollment!L35</f>
        <v>499.02263374485597</v>
      </c>
      <c r="M35" s="74">
        <f>Electricity_Grid!M35/Enrollment!M35</f>
        <v>601.78197064989513</v>
      </c>
      <c r="N35" s="75">
        <f>Electricity_Grid!N35/Enrollment!N35</f>
        <v>482.25655430711612</v>
      </c>
      <c r="O35" s="74">
        <f>Electricity_Grid!O35/Enrollment!O35</f>
        <v>631.87425373134329</v>
      </c>
      <c r="P35" s="75">
        <f>Electricity_Grid!P35/Enrollment!P35</f>
        <v>538.46165413533834</v>
      </c>
      <c r="Q35" s="74">
        <f>Electricity_Grid!Q35/Enrollment!Q35</f>
        <v>536.58811320754717</v>
      </c>
      <c r="R35" s="75">
        <f>Electricity_Grid!R35/Enrollment!R35</f>
        <v>503.48968105065666</v>
      </c>
      <c r="S35" s="74">
        <f>Electricity_Grid!S35/Enrollment!S35</f>
        <v>425.7759541984733</v>
      </c>
      <c r="T35" s="75">
        <f>Electricity_Grid!T35/Enrollment!T35</f>
        <v>933.24440154440151</v>
      </c>
      <c r="U35" s="534">
        <f>Electricity_Grid!U35/Enrollment!U35</f>
        <v>824.8752016129032</v>
      </c>
    </row>
    <row r="36" spans="2:21" ht="16">
      <c r="B36" s="188" t="s">
        <v>65</v>
      </c>
      <c r="C36" s="70" t="s">
        <v>98</v>
      </c>
      <c r="D36" s="70"/>
      <c r="E36" s="70"/>
      <c r="F36" s="70"/>
      <c r="G36" s="71">
        <v>6375689.4000000004</v>
      </c>
      <c r="H36" s="75">
        <f>Electricity_Grid!H36/Enrollment!H36</f>
        <v>7138.4052995391703</v>
      </c>
      <c r="I36" s="74">
        <f>Electricity_Grid!I36/Enrollment!I36</f>
        <v>5312.5353420195443</v>
      </c>
      <c r="J36" s="75">
        <f>Electricity_Grid!J36/Enrollment!J36</f>
        <v>3863.45797767564</v>
      </c>
      <c r="K36" s="74">
        <f>Electricity_Grid!K36/Enrollment!K36</f>
        <v>4293.8389740173216</v>
      </c>
      <c r="L36" s="75">
        <f>Electricity_Grid!L36/Enrollment!L36</f>
        <v>4765.6807534246582</v>
      </c>
      <c r="M36" s="74">
        <f>Electricity_Grid!M36/Enrollment!M36</f>
        <v>4564.4354439091539</v>
      </c>
      <c r="N36" s="75">
        <f>Electricity_Grid!N36/Enrollment!N36</f>
        <v>4108.0777777777776</v>
      </c>
      <c r="O36" s="74">
        <f>Electricity_Grid!O36/Enrollment!O36</f>
        <v>3984.5418558077436</v>
      </c>
      <c r="P36" s="75">
        <f>Electricity_Grid!P36/Enrollment!P36</f>
        <v>3577.5671843349087</v>
      </c>
      <c r="Q36" s="74">
        <f>Electricity_Grid!Q36/Enrollment!Q36</f>
        <v>3900.926721763085</v>
      </c>
      <c r="R36" s="75">
        <f>Electricity_Grid!R36/Enrollment!R36</f>
        <v>3657.0969892473117</v>
      </c>
      <c r="S36" s="74">
        <f>Electricity_Grid!S36/Enrollment!S36</f>
        <v>4564.3901154401156</v>
      </c>
      <c r="T36" s="75">
        <f>Electricity_Grid!T36/Enrollment!T36</f>
        <v>8099.2922960725073</v>
      </c>
      <c r="U36" s="534">
        <f>Electricity_Grid!U36/Enrollment!U36</f>
        <v>6569.5147553516827</v>
      </c>
    </row>
    <row r="37" spans="2:21" ht="16">
      <c r="B37" s="188" t="s">
        <v>5</v>
      </c>
      <c r="C37" s="71">
        <v>683845</v>
      </c>
      <c r="D37" s="71">
        <v>743023.2</v>
      </c>
      <c r="E37" s="71">
        <v>807375.9</v>
      </c>
      <c r="F37" s="71">
        <v>844678.3</v>
      </c>
      <c r="G37" s="71">
        <v>952591.5</v>
      </c>
      <c r="H37" s="77" t="s">
        <v>253</v>
      </c>
      <c r="I37" s="77" t="s">
        <v>253</v>
      </c>
      <c r="J37" s="77" t="s">
        <v>253</v>
      </c>
      <c r="K37" s="77" t="s">
        <v>253</v>
      </c>
      <c r="L37" s="77" t="s">
        <v>253</v>
      </c>
      <c r="M37" s="77" t="s">
        <v>253</v>
      </c>
      <c r="N37" s="77" t="s">
        <v>253</v>
      </c>
      <c r="O37" s="77" t="s">
        <v>253</v>
      </c>
      <c r="P37" s="77" t="s">
        <v>253</v>
      </c>
      <c r="Q37" s="77" t="s">
        <v>253</v>
      </c>
      <c r="R37" s="77" t="s">
        <v>253</v>
      </c>
      <c r="S37" s="77" t="s">
        <v>253</v>
      </c>
      <c r="T37" s="77" t="s">
        <v>253</v>
      </c>
      <c r="U37" s="531" t="s">
        <v>253</v>
      </c>
    </row>
    <row r="38" spans="2:21" ht="17" thickBot="1">
      <c r="B38" s="317" t="s">
        <v>48</v>
      </c>
      <c r="C38" s="80">
        <v>193280.2</v>
      </c>
      <c r="D38" s="80">
        <v>202852.9</v>
      </c>
      <c r="E38" s="80">
        <v>246727.2</v>
      </c>
      <c r="F38" s="80">
        <v>292768.7</v>
      </c>
      <c r="G38" s="80">
        <v>271227.8</v>
      </c>
      <c r="H38" s="412" t="s">
        <v>253</v>
      </c>
      <c r="I38" s="412" t="s">
        <v>253</v>
      </c>
      <c r="J38" s="412" t="s">
        <v>253</v>
      </c>
      <c r="K38" s="412" t="s">
        <v>253</v>
      </c>
      <c r="L38" s="412" t="s">
        <v>253</v>
      </c>
      <c r="M38" s="412" t="s">
        <v>253</v>
      </c>
      <c r="N38" s="412" t="s">
        <v>253</v>
      </c>
      <c r="O38" s="412" t="s">
        <v>253</v>
      </c>
      <c r="P38" s="412" t="s">
        <v>253</v>
      </c>
      <c r="Q38" s="412" t="s">
        <v>253</v>
      </c>
      <c r="R38" s="412" t="s">
        <v>253</v>
      </c>
      <c r="S38" s="412" t="s">
        <v>253</v>
      </c>
      <c r="T38" s="412" t="s">
        <v>253</v>
      </c>
      <c r="U38" s="535" t="s">
        <v>253</v>
      </c>
    </row>
  </sheetData>
  <mergeCells count="2">
    <mergeCell ref="H26:J26"/>
    <mergeCell ref="B2:J2"/>
  </mergeCells>
  <conditionalFormatting sqref="H4:U12 H14:U25 H27:U36">
    <cfRule type="colorScale" priority="1">
      <colorScale>
        <cfvo type="min"/>
        <cfvo type="percentile" val="50"/>
        <cfvo type="max"/>
        <color rgb="FF63BE7B"/>
        <color rgb="FFFFEB84"/>
        <color rgb="FFF8696B"/>
      </colorScale>
    </cfRule>
  </conditionalFormatting>
  <pageMargins left="0.7" right="0.7" top="0.75" bottom="0.75" header="0.3" footer="0.3"/>
  <pageSetup scale="48" orientation="landscape"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2ED20-EB41-F446-9B5E-779AC21C4AD2}">
  <sheetPr>
    <pageSetUpPr fitToPage="1"/>
  </sheetPr>
  <dimension ref="B1:U38"/>
  <sheetViews>
    <sheetView zoomScale="110" zoomScaleNormal="110" workbookViewId="0">
      <selection activeCell="W41" sqref="W41"/>
    </sheetView>
  </sheetViews>
  <sheetFormatPr baseColWidth="10" defaultColWidth="11.5" defaultRowHeight="15"/>
  <cols>
    <col min="2" max="2" width="40.5" customWidth="1"/>
    <col min="3" max="7" width="0" hidden="1" customWidth="1"/>
    <col min="8" max="13" width="13.33203125" customWidth="1"/>
    <col min="14" max="18" width="14.6640625" customWidth="1"/>
    <col min="19" max="19" width="14.6640625" bestFit="1" customWidth="1"/>
    <col min="20" max="21" width="14.6640625" customWidth="1"/>
  </cols>
  <sheetData>
    <row r="1" spans="2:21" ht="16" thickBot="1"/>
    <row r="2" spans="2:21" ht="65" thickBot="1">
      <c r="B2" s="679" t="s">
        <v>284</v>
      </c>
      <c r="C2" s="680"/>
      <c r="D2" s="680"/>
      <c r="E2" s="680"/>
      <c r="F2" s="680"/>
      <c r="G2" s="680"/>
      <c r="H2" s="680"/>
      <c r="I2" s="681"/>
      <c r="J2" s="290"/>
      <c r="K2" s="194"/>
      <c r="L2" s="194"/>
      <c r="M2" s="194"/>
      <c r="N2" s="194"/>
      <c r="O2" s="194"/>
      <c r="P2" s="194"/>
      <c r="Q2" s="194"/>
      <c r="R2" s="194"/>
      <c r="S2" s="252" t="s">
        <v>264</v>
      </c>
      <c r="T2" s="537" t="s">
        <v>160</v>
      </c>
      <c r="U2" s="253"/>
    </row>
    <row r="3" spans="2:21" ht="22" thickBot="1">
      <c r="B3" s="291" t="s">
        <v>90</v>
      </c>
      <c r="C3" s="292">
        <v>2005</v>
      </c>
      <c r="D3" s="292">
        <f>C3+1</f>
        <v>2006</v>
      </c>
      <c r="E3" s="292">
        <f t="shared" ref="E3:U3" si="0">D3+1</f>
        <v>2007</v>
      </c>
      <c r="F3" s="292">
        <f t="shared" si="0"/>
        <v>2008</v>
      </c>
      <c r="G3" s="292">
        <f t="shared" si="0"/>
        <v>2009</v>
      </c>
      <c r="H3" s="292">
        <f t="shared" si="0"/>
        <v>2010</v>
      </c>
      <c r="I3" s="292">
        <f t="shared" si="0"/>
        <v>2011</v>
      </c>
      <c r="J3" s="292">
        <f t="shared" si="0"/>
        <v>2012</v>
      </c>
      <c r="K3" s="292">
        <f t="shared" si="0"/>
        <v>2013</v>
      </c>
      <c r="L3" s="292">
        <f t="shared" si="0"/>
        <v>2014</v>
      </c>
      <c r="M3" s="292">
        <f t="shared" si="0"/>
        <v>2015</v>
      </c>
      <c r="N3" s="292">
        <f t="shared" si="0"/>
        <v>2016</v>
      </c>
      <c r="O3" s="292">
        <f t="shared" si="0"/>
        <v>2017</v>
      </c>
      <c r="P3" s="292">
        <f t="shared" si="0"/>
        <v>2018</v>
      </c>
      <c r="Q3" s="292">
        <f t="shared" si="0"/>
        <v>2019</v>
      </c>
      <c r="R3" s="292">
        <f t="shared" si="0"/>
        <v>2020</v>
      </c>
      <c r="S3" s="292">
        <f t="shared" si="0"/>
        <v>2021</v>
      </c>
      <c r="T3" s="538">
        <f t="shared" si="0"/>
        <v>2022</v>
      </c>
      <c r="U3" s="293">
        <f t="shared" si="0"/>
        <v>2023</v>
      </c>
    </row>
    <row r="4" spans="2:21" ht="17" thickBot="1">
      <c r="B4" s="313" t="s">
        <v>1</v>
      </c>
      <c r="C4" s="314" t="s">
        <v>99</v>
      </c>
      <c r="D4" s="314"/>
      <c r="E4" s="318">
        <v>22202</v>
      </c>
      <c r="F4" s="318">
        <v>22202</v>
      </c>
      <c r="G4" s="318">
        <v>22202</v>
      </c>
      <c r="H4" s="319">
        <f>(Electricity_Grid!H4/SF!H4)*1000</f>
        <v>8958.432848588538</v>
      </c>
      <c r="I4" s="319">
        <f>(Electricity_Grid!I4/SF!I4)*1000</f>
        <v>8096.9871685201033</v>
      </c>
      <c r="J4" s="319">
        <f>(Electricity_Grid!J4/SF!J4)*1000</f>
        <v>7890.0325064157405</v>
      </c>
      <c r="K4" s="319">
        <f>(Electricity_Grid!K4/SF!K4)*1000</f>
        <v>7693.1052181351579</v>
      </c>
      <c r="L4" s="319">
        <f>(Electricity_Grid!L4/SF!L4)*1000</f>
        <v>7207.8682634730549</v>
      </c>
      <c r="M4" s="319">
        <f>(Electricity_Grid!M4/SF!M4)*1000</f>
        <v>7171.1685201026512</v>
      </c>
      <c r="N4" s="319">
        <f>(Electricity_Grid!N4/SF!N4)*1000</f>
        <v>6925.4200171086395</v>
      </c>
      <c r="O4" s="319">
        <f>(Electricity_Grid!O4/SF!O4)*1000</f>
        <v>8166.9803250641571</v>
      </c>
      <c r="P4" s="319">
        <f>(Electricity_Grid!P4/SF!P4)*1000</f>
        <v>7978.0684345594518</v>
      </c>
      <c r="Q4" s="319">
        <f>(Electricity_Grid!Q4/SF!Q4)*1000</f>
        <v>8926.0872540633009</v>
      </c>
      <c r="R4" s="319">
        <f>(Electricity_Grid!R4/SF!R4)*1000</f>
        <v>8504.5320786997436</v>
      </c>
      <c r="S4" s="319">
        <f>(Electricity_Grid!S4/SF!S4)*1000</f>
        <v>6336.1830624465365</v>
      </c>
      <c r="T4" s="319">
        <f>(Electricity_Grid!T4/SF!T4)*1000</f>
        <v>9592.9272882805817</v>
      </c>
      <c r="U4" s="413">
        <f>(Electricity_Grid!U4/SF!U4)*1000</f>
        <v>19335.203305066319</v>
      </c>
    </row>
    <row r="5" spans="2:21" ht="17" thickBot="1">
      <c r="B5" s="188" t="s">
        <v>265</v>
      </c>
      <c r="C5" s="78">
        <v>29392.907316000001</v>
      </c>
      <c r="D5" s="78">
        <v>25245.4692899</v>
      </c>
      <c r="E5" s="78">
        <v>23567.7629867</v>
      </c>
      <c r="F5" s="78">
        <v>24301.17438909</v>
      </c>
      <c r="G5" s="78">
        <v>24710.197203</v>
      </c>
      <c r="H5" s="319">
        <f>(Electricity_Grid!H5/SF!H5)*1000</f>
        <v>6119.2248649673083</v>
      </c>
      <c r="I5" s="319">
        <f>(Electricity_Grid!I5/SF!I5)*1000</f>
        <v>6241.0575191888565</v>
      </c>
      <c r="J5" s="319">
        <f>(Electricity_Grid!J5/SF!J5)*1000</f>
        <v>5491.0376196342268</v>
      </c>
      <c r="K5" s="319">
        <f>(Electricity_Grid!K5/SF!K5)*1000</f>
        <v>4814.7901070785565</v>
      </c>
      <c r="L5" s="319">
        <f>(Electricity_Grid!L5/SF!L5)*1000</f>
        <v>4422.9944091727466</v>
      </c>
      <c r="M5" s="319">
        <f>(Electricity_Grid!M5/SF!M5)*1000</f>
        <v>4598.1161754951199</v>
      </c>
      <c r="N5" s="319">
        <f>(Electricity_Grid!N5/SF!N5)*1000</f>
        <v>3977.1628920686057</v>
      </c>
      <c r="O5" s="319">
        <f>(Electricity_Grid!O5/SF!O5)*1000</f>
        <v>4843.8472472282765</v>
      </c>
      <c r="P5" s="319">
        <f>(Electricity_Grid!P5/SF!P5)*1000</f>
        <v>5050.3307116459773</v>
      </c>
      <c r="Q5" s="319">
        <f>(Electricity_Grid!Q5/SF!Q5)*1000</f>
        <v>8284.2888278214723</v>
      </c>
      <c r="R5" s="319">
        <f>(Electricity_Grid!R5/SF!R5)*1000</f>
        <v>9689.5290438737793</v>
      </c>
      <c r="S5" s="319">
        <f>(Electricity_Grid!S5/SF!S5)*1000</f>
        <v>3764.6413342177575</v>
      </c>
      <c r="T5" s="319">
        <f>(Electricity_Grid!T5/SF!T5)*1000</f>
        <v>5182.3235099023968</v>
      </c>
      <c r="U5" s="413">
        <f>(Electricity_Grid!U5/SF!U5)*1000</f>
        <v>5143.6596228560602</v>
      </c>
    </row>
    <row r="6" spans="2:21" ht="17" thickBot="1">
      <c r="B6" s="188" t="s">
        <v>7</v>
      </c>
      <c r="C6" s="78">
        <v>26958.707091</v>
      </c>
      <c r="D6" s="78">
        <v>22368.64675</v>
      </c>
      <c r="E6" s="78">
        <v>35981.860355999997</v>
      </c>
      <c r="F6" s="78">
        <v>31147.881701999999</v>
      </c>
      <c r="G6" s="78">
        <v>32013.69788</v>
      </c>
      <c r="H6" s="319">
        <f>(Electricity_Grid!H6/SF!H6)*1000</f>
        <v>5242.5139169266531</v>
      </c>
      <c r="I6" s="319">
        <f>(Electricity_Grid!I6/SF!I6)*1000</f>
        <v>4876.3274606961522</v>
      </c>
      <c r="J6" s="319">
        <f>(Electricity_Grid!J6/SF!J6)*1000</f>
        <v>4820.4930568300006</v>
      </c>
      <c r="K6" s="319">
        <f>(Electricity_Grid!K6/SF!K6)*1000</f>
        <v>4197.9552823147988</v>
      </c>
      <c r="L6" s="319">
        <f>(Electricity_Grid!L6/SF!L6)*1000</f>
        <v>3861.6611610693094</v>
      </c>
      <c r="M6" s="319">
        <f>(Electricity_Grid!M6/SF!M6)*1000</f>
        <v>4441.7630146204192</v>
      </c>
      <c r="N6" s="319">
        <f>(Electricity_Grid!N6/SF!N6)*1000</f>
        <v>4044.5341652902675</v>
      </c>
      <c r="O6" s="319">
        <f>(Electricity_Grid!O6/SF!O6)*1000</f>
        <v>4451.3519300177404</v>
      </c>
      <c r="P6" s="319">
        <f>(Electricity_Grid!P6/SF!P6)*1000</f>
        <v>4610.509573622071</v>
      </c>
      <c r="Q6" s="319">
        <f>(Electricity_Grid!Q6/SF!Q6)*1000</f>
        <v>5107.9035908729429</v>
      </c>
      <c r="R6" s="319">
        <f>(Electricity_Grid!R6/SF!R6)*1000</f>
        <v>5213.0666177280236</v>
      </c>
      <c r="S6" s="319">
        <f>(Electricity_Grid!S6/SF!S6)*1000</f>
        <v>3710.8383801309105</v>
      </c>
      <c r="T6" s="319">
        <f>(Electricity_Grid!T6/SF!T6)*1000</f>
        <v>5393.5278644399586</v>
      </c>
      <c r="U6" s="413">
        <f>(Electricity_Grid!U6/SF!U6)*1000</f>
        <v>5171.5865296384663</v>
      </c>
    </row>
    <row r="7" spans="2:21" ht="17" thickBot="1">
      <c r="B7" s="188" t="s">
        <v>9</v>
      </c>
      <c r="C7" s="78">
        <v>41260.515135000001</v>
      </c>
      <c r="D7" s="78">
        <v>25824.792118000001</v>
      </c>
      <c r="E7" s="78">
        <v>30528.459105950002</v>
      </c>
      <c r="F7" s="78">
        <v>33688.39256</v>
      </c>
      <c r="G7" s="78">
        <v>32236.799940000001</v>
      </c>
      <c r="H7" s="319">
        <f>(Electricity_Grid!H7/SF!H7)*1000</f>
        <v>3794.379950092221</v>
      </c>
      <c r="I7" s="319">
        <f>(Electricity_Grid!I7/SF!I7)*1000</f>
        <v>3477.2783986112618</v>
      </c>
      <c r="J7" s="319">
        <f>(Electricity_Grid!J7/SF!J7)*1000</f>
        <v>3383.1506997938591</v>
      </c>
      <c r="K7" s="319">
        <f>(Electricity_Grid!K7/SF!K7)*1000</f>
        <v>2872.4774872518174</v>
      </c>
      <c r="L7" s="319">
        <f>(Electricity_Grid!L7/SF!L7)*1000</f>
        <v>2581.1381143539111</v>
      </c>
      <c r="M7" s="319">
        <f>(Electricity_Grid!M7/SF!M7)*1000</f>
        <v>2768.2570250623849</v>
      </c>
      <c r="N7" s="319">
        <f>(Electricity_Grid!N7/SF!N7)*1000</f>
        <v>2564.4542692850168</v>
      </c>
      <c r="O7" s="319">
        <f>(Electricity_Grid!O7/SF!O7)*1000</f>
        <v>3716.114245416079</v>
      </c>
      <c r="P7" s="319">
        <f>(Electricity_Grid!P7/SF!P7)*1000</f>
        <v>3028.1517847455784</v>
      </c>
      <c r="Q7" s="319">
        <f>(Electricity_Grid!Q7/SF!Q7)*1000</f>
        <v>2817.3592275143756</v>
      </c>
      <c r="R7" s="319">
        <f>(Electricity_Grid!R7/SF!R7)*1000</f>
        <v>3298.2396658348707</v>
      </c>
      <c r="S7" s="319">
        <f>(Electricity_Grid!S7/SF!S7)*1000</f>
        <v>1991.2959748291203</v>
      </c>
      <c r="T7" s="319">
        <f>(Electricity_Grid!T7/SF!T7)*1000</f>
        <v>3009.4851904090265</v>
      </c>
      <c r="U7" s="413">
        <f>(Electricity_Grid!U7/SF!U7)*1000</f>
        <v>5693.5282629922967</v>
      </c>
    </row>
    <row r="8" spans="2:21" ht="17" thickBot="1">
      <c r="B8" s="188" t="s">
        <v>11</v>
      </c>
      <c r="C8" s="78">
        <v>55185.231740000003</v>
      </c>
      <c r="D8" s="78">
        <v>41791.779736700002</v>
      </c>
      <c r="E8" s="78">
        <v>46352.603891010003</v>
      </c>
      <c r="F8" s="78">
        <v>40636.004618500003</v>
      </c>
      <c r="G8" s="78">
        <v>31124.459655999999</v>
      </c>
      <c r="H8" s="319">
        <f>(Electricity_Grid!H8/SF!H8)*1000</f>
        <v>5260.6385383311354</v>
      </c>
      <c r="I8" s="319">
        <f>(Electricity_Grid!I8/SF!I8)*1000</f>
        <v>5276.0444528159733</v>
      </c>
      <c r="J8" s="319">
        <f>(Electricity_Grid!J8/SF!J8)*1000</f>
        <v>4446.895837257488</v>
      </c>
      <c r="K8" s="319">
        <f>(Electricity_Grid!K8/SF!K8)*1000</f>
        <v>4270.1073648521378</v>
      </c>
      <c r="L8" s="319">
        <f>(Electricity_Grid!L8/SF!L8)*1000</f>
        <v>3989.263514786212</v>
      </c>
      <c r="M8" s="319">
        <f>(Electricity_Grid!M8/SF!M8)*1000</f>
        <v>4051.7555095121497</v>
      </c>
      <c r="N8" s="319">
        <f>(Electricity_Grid!N8/SF!N8)*1000</f>
        <v>4153.045771331701</v>
      </c>
      <c r="O8" s="319">
        <f>(Electricity_Grid!O8/SF!O8)*1000</f>
        <v>4825.9220192126586</v>
      </c>
      <c r="P8" s="319">
        <f>(Electricity_Grid!P8/SF!P8)*1000</f>
        <v>5321.4710868336788</v>
      </c>
      <c r="Q8" s="319">
        <f>(Electricity_Grid!Q8/SF!Q8)*1000</f>
        <v>6027.8470521755517</v>
      </c>
      <c r="R8" s="319">
        <f>(Electricity_Grid!R8/SF!R8)*1000</f>
        <v>4752.024863439442</v>
      </c>
      <c r="S8" s="319">
        <f>(Electricity_Grid!S8/SF!S8)*1000</f>
        <v>3880.0018835938968</v>
      </c>
      <c r="T8" s="319">
        <f>(Electricity_Grid!T8/SF!T8)*1000</f>
        <v>5595.6300621585988</v>
      </c>
      <c r="U8" s="413">
        <f>(Electricity_Grid!U8/SF!U8)*1000</f>
        <v>5552.3808626860055</v>
      </c>
    </row>
    <row r="9" spans="2:21" ht="17" thickBot="1">
      <c r="B9" s="188" t="s">
        <v>13</v>
      </c>
      <c r="C9" s="78">
        <v>15868.224007999999</v>
      </c>
      <c r="D9" s="78">
        <v>10499.5081001</v>
      </c>
      <c r="E9" s="78">
        <v>14652.888534600001</v>
      </c>
      <c r="F9" s="78">
        <v>16552.620056100001</v>
      </c>
      <c r="G9" s="78">
        <v>14111.571695000001</v>
      </c>
      <c r="H9" s="319">
        <f>(Electricity_Grid!H9/SF!H9)*1000</f>
        <v>8048.9467038809153</v>
      </c>
      <c r="I9" s="319">
        <f>(Electricity_Grid!I9/SF!I9)*1000</f>
        <v>7467.2315257841565</v>
      </c>
      <c r="J9" s="319">
        <f>(Electricity_Grid!J9/SF!J9)*1000</f>
        <v>7445.9496278575225</v>
      </c>
      <c r="K9" s="319">
        <f>(Electricity_Grid!K9/SF!K9)*1000</f>
        <v>6631.6520467836253</v>
      </c>
      <c r="L9" s="319">
        <f>(Electricity_Grid!L9/SF!L9)*1000</f>
        <v>5425.7226874003181</v>
      </c>
      <c r="M9" s="319">
        <f>(Electricity_Grid!M9/SF!M9)*1000</f>
        <v>6113.7210925039863</v>
      </c>
      <c r="N9" s="319">
        <f>(Electricity_Grid!N9/SF!N9)*1000</f>
        <v>6009.5693779904304</v>
      </c>
      <c r="O9" s="319">
        <f>(Electricity_Grid!O9/SF!O9)*1000</f>
        <v>6681.4892344497612</v>
      </c>
      <c r="P9" s="319">
        <f>(Electricity_Grid!P9/SF!P9)*1000</f>
        <v>8450.6529106858052</v>
      </c>
      <c r="Q9" s="319">
        <f>(Electricity_Grid!Q9/SF!Q9)*1000</f>
        <v>8037.7159755449238</v>
      </c>
      <c r="R9" s="319">
        <f>(Electricity_Grid!R9/SF!R9)*1000</f>
        <v>6594.1703216374272</v>
      </c>
      <c r="S9" s="319">
        <f>(Electricity_Grid!S9/SF!S9)*1000</f>
        <v>5063.2459463051573</v>
      </c>
      <c r="T9" s="319">
        <f>(Electricity_Grid!T9/SF!T9)*1000</f>
        <v>5836.5862573099412</v>
      </c>
      <c r="U9" s="413">
        <f>(Electricity_Grid!U9/SF!U9)*1000</f>
        <v>3755.8878256246676</v>
      </c>
    </row>
    <row r="10" spans="2:21" ht="17" thickBot="1">
      <c r="B10" s="188" t="s">
        <v>15</v>
      </c>
      <c r="C10" s="73">
        <v>15868.224007999999</v>
      </c>
      <c r="D10" s="78">
        <v>10499.5081001</v>
      </c>
      <c r="E10" s="78">
        <v>14652.888534600001</v>
      </c>
      <c r="F10" s="78">
        <v>16552.620056100001</v>
      </c>
      <c r="G10" s="78">
        <v>14111.571695000001</v>
      </c>
      <c r="H10" s="319">
        <f>(Electricity_Grid!H10/SF!H10)*1000</f>
        <v>5037.131099160546</v>
      </c>
      <c r="I10" s="319">
        <f>(Electricity_Grid!I10/SF!I10)*1000</f>
        <v>4951.1132607555091</v>
      </c>
      <c r="J10" s="319">
        <f>(Electricity_Grid!J10/SF!J10)*1000</f>
        <v>4231.5615162644281</v>
      </c>
      <c r="K10" s="319">
        <f>(Electricity_Grid!K10/SF!K10)*1000</f>
        <v>3655.3006951731377</v>
      </c>
      <c r="L10" s="319">
        <f>(Electricity_Grid!L10/SF!L10)*1000</f>
        <v>3582.943664742917</v>
      </c>
      <c r="M10" s="319">
        <f>(Electricity_Grid!M10/SF!M10)*1000</f>
        <v>4519.1500524658968</v>
      </c>
      <c r="N10" s="319">
        <f>(Electricity_Grid!N10/SF!N10)*1000</f>
        <v>4148.8719832109136</v>
      </c>
      <c r="O10" s="319">
        <f>(Electricity_Grid!O10/SF!O10)*1000</f>
        <v>4280.3285676810074</v>
      </c>
      <c r="P10" s="319">
        <f>(Electricity_Grid!P10/SF!P10)*1000</f>
        <v>2513.5478382402089</v>
      </c>
      <c r="Q10" s="319">
        <f>(Electricity_Grid!Q10/SF!Q10)*1000</f>
        <v>3473.0911797769882</v>
      </c>
      <c r="R10" s="319">
        <f>(Electricity_Grid!R10/SF!R10)*1000</f>
        <v>5405.0663871418592</v>
      </c>
      <c r="S10" s="319">
        <f>(Electricity_Grid!S10/SF!S10)*1000</f>
        <v>3481.4040044967032</v>
      </c>
      <c r="T10" s="319">
        <f>(Electricity_Grid!T10/SF!T10)*1000</f>
        <v>5471.3942818946916</v>
      </c>
      <c r="U10" s="413">
        <f>(Electricity_Grid!U10/SF!U10)*1000</f>
        <v>4476.3991431956974</v>
      </c>
    </row>
    <row r="11" spans="2:21" ht="17" thickBot="1">
      <c r="B11" s="188" t="s">
        <v>17</v>
      </c>
      <c r="C11" s="78">
        <v>36376.348841999999</v>
      </c>
      <c r="D11" s="78">
        <v>29910.133901000001</v>
      </c>
      <c r="E11" s="78">
        <v>29510.600627299998</v>
      </c>
      <c r="F11" s="78">
        <v>31753.572598899998</v>
      </c>
      <c r="G11" s="78">
        <v>30727.161136999999</v>
      </c>
      <c r="H11" s="319">
        <f>(Electricity_Grid!H11/SF!H11)*1000</f>
        <v>5869.1581491844154</v>
      </c>
      <c r="I11" s="319">
        <f>(Electricity_Grid!I11/SF!I11)*1000</f>
        <v>5941.9003026323298</v>
      </c>
      <c r="J11" s="319">
        <f>(Electricity_Grid!J11/SF!J11)*1000</f>
        <v>5120.2820761719868</v>
      </c>
      <c r="K11" s="319">
        <f>(Electricity_Grid!K11/SF!K11)*1000</f>
        <v>4856.0745351072528</v>
      </c>
      <c r="L11" s="319">
        <f>(Electricity_Grid!L11/SF!L11)*1000</f>
        <v>4460.7377376805807</v>
      </c>
      <c r="M11" s="319">
        <f>(Electricity_Grid!M11/SF!M11)*1000</f>
        <v>4596.2903747692189</v>
      </c>
      <c r="N11" s="319">
        <f>(Electricity_Grid!N11/SF!N11)*1000</f>
        <v>4192.3333142998536</v>
      </c>
      <c r="O11" s="319">
        <f>(Electricity_Grid!O11/SF!O11)*1000</f>
        <v>4819.8690496583495</v>
      </c>
      <c r="P11" s="319">
        <f>(Electricity_Grid!P11/SF!P11)*1000</f>
        <v>4729.2734920725552</v>
      </c>
      <c r="Q11" s="319">
        <f>(Electricity_Grid!Q11/SF!Q11)*1000</f>
        <v>4238.4817484687765</v>
      </c>
      <c r="R11" s="319">
        <f>(Electricity_Grid!R11/SF!R11)*1000</f>
        <v>3739.0006404046044</v>
      </c>
      <c r="S11" s="319">
        <f>(Electricity_Grid!S11/SF!S11)*1000</f>
        <v>2779.0948948258592</v>
      </c>
      <c r="T11" s="319">
        <f>(Electricity_Grid!T11/SF!T11)*1000</f>
        <v>3837.085994843922</v>
      </c>
      <c r="U11" s="413">
        <f>(Electricity_Grid!U11/SF!U11)*1000</f>
        <v>4360.8548580436463</v>
      </c>
    </row>
    <row r="12" spans="2:21" ht="17" thickBot="1">
      <c r="B12" s="188" t="s">
        <v>19</v>
      </c>
      <c r="C12" s="82">
        <f>AVERAGE(F12:I12)</f>
        <v>13322.715074803888</v>
      </c>
      <c r="D12" s="82">
        <f>AVERAGE(G12:J12)</f>
        <v>10242.204385433257</v>
      </c>
      <c r="E12" s="82">
        <f>AVERAGE(H12:K12)</f>
        <v>5499.3894534595711</v>
      </c>
      <c r="F12" s="78">
        <v>17812.716152699999</v>
      </c>
      <c r="G12" s="78">
        <v>23156.974675000001</v>
      </c>
      <c r="H12" s="319">
        <f>(Electricity_Grid!H12/SF!H12)*1000</f>
        <v>5905.9376374453113</v>
      </c>
      <c r="I12" s="319">
        <f>(Electricity_Grid!I12/SF!I12)*1000</f>
        <v>6415.2318340702332</v>
      </c>
      <c r="J12" s="319">
        <f>(Electricity_Grid!J12/SF!J12)*1000</f>
        <v>5490.6733952174818</v>
      </c>
      <c r="K12" s="319">
        <f>(Electricity_Grid!K12/SF!K12)*1000</f>
        <v>4185.7149471052571</v>
      </c>
      <c r="L12" s="319">
        <f>(Electricity_Grid!L12/SF!L12)*1000</f>
        <v>4074.3119053681803</v>
      </c>
      <c r="M12" s="319">
        <f>(Electricity_Grid!M12/SF!M12)*1000</f>
        <v>4171.3604481585226</v>
      </c>
      <c r="N12" s="319">
        <f>(Electricity_Grid!N12/SF!N12)*1000</f>
        <v>3683.0759971295633</v>
      </c>
      <c r="O12" s="319">
        <f>(Electricity_Grid!O12/SF!O12)*1000</f>
        <v>4274.0734739230084</v>
      </c>
      <c r="P12" s="319">
        <f>(Electricity_Grid!P12/SF!P12)*1000</f>
        <v>4776.6059399523137</v>
      </c>
      <c r="Q12" s="319">
        <f>(Electricity_Grid!Q12/SF!Q12)*1000</f>
        <v>4239.4985995046191</v>
      </c>
      <c r="R12" s="319">
        <f>(Electricity_Grid!R12/SF!R12)*1000</f>
        <v>3948.9177990231251</v>
      </c>
      <c r="S12" s="319">
        <f>(Electricity_Grid!S12/SF!S12)*1000</f>
        <v>3257.8531910460893</v>
      </c>
      <c r="T12" s="319">
        <f>(Electricity_Grid!T12/SF!T12)*1000</f>
        <v>5092.58547651566</v>
      </c>
      <c r="U12" s="413">
        <f>(Electricity_Grid!U12/SF!U12)*1000</f>
        <v>5511.9424060742149</v>
      </c>
    </row>
    <row r="13" spans="2:21" ht="17" thickBot="1">
      <c r="B13" s="188" t="s">
        <v>21</v>
      </c>
      <c r="C13" s="78">
        <v>22235.645260000001</v>
      </c>
      <c r="D13" s="78">
        <v>16106.949925000001</v>
      </c>
      <c r="E13" s="78">
        <v>16458.874127999999</v>
      </c>
      <c r="F13" s="78">
        <v>19919.940526999999</v>
      </c>
      <c r="G13" s="78">
        <v>24531.671814000001</v>
      </c>
      <c r="H13" s="319">
        <f>(Electricity_Grid!H13/SF!H13)*1000</f>
        <v>9729.3110972568575</v>
      </c>
      <c r="I13" s="319">
        <f>(Electricity_Grid!I13/SF!I13)*1000</f>
        <v>10043.391521197007</v>
      </c>
      <c r="J13" s="319">
        <f>(Electricity_Grid!J13/SF!J13)*1000</f>
        <v>10271.98566084788</v>
      </c>
      <c r="K13" s="319">
        <f>(Electricity_Grid!K13/SF!K13)*1000</f>
        <v>9689.2768079800499</v>
      </c>
      <c r="L13" s="319">
        <f>(Electricity_Grid!L13/SF!L13)*1000</f>
        <v>8511.2001246882792</v>
      </c>
      <c r="M13" s="319">
        <f>(Electricity_Grid!M13/SF!M13)*1000</f>
        <v>8502.1134663341636</v>
      </c>
      <c r="N13" s="319">
        <f>(Electricity_Grid!N13/SF!N13)*1000</f>
        <v>8323.5255610972581</v>
      </c>
      <c r="O13" s="319">
        <f>(Electricity_Grid!O13/SF!O13)*1000</f>
        <v>7781.1253117206988</v>
      </c>
      <c r="P13" s="319">
        <f>(Electricity_Grid!P13/SF!P13)*1000</f>
        <v>7295.062344139651</v>
      </c>
      <c r="Q13" s="319">
        <f>(Electricity_Grid!Q13/SF!Q13)*1000</f>
        <v>5787.9831670822941</v>
      </c>
      <c r="R13" s="319">
        <f>(Electricity_Grid!R13/SF!R13)*1000</f>
        <v>6559.3578553615962</v>
      </c>
      <c r="S13" s="319">
        <f>(Electricity_Grid!S13/SF!S13)*1000</f>
        <v>7409.3672069825434</v>
      </c>
      <c r="T13" s="319">
        <f>(Electricity_Grid!T13/SF!T13)*1000</f>
        <v>6159.4513715710727</v>
      </c>
      <c r="U13" s="413">
        <f>(Electricity_Grid!U13/SF!U13)*1000</f>
        <v>4636.0910224438894</v>
      </c>
    </row>
    <row r="14" spans="2:21" ht="17" thickBot="1">
      <c r="B14" s="188" t="s">
        <v>23</v>
      </c>
      <c r="C14" s="78">
        <v>32954.065970000003</v>
      </c>
      <c r="D14" s="78">
        <v>27366.341971999998</v>
      </c>
      <c r="E14" s="78">
        <v>31742.835739999999</v>
      </c>
      <c r="F14" s="78">
        <v>37319.754931000003</v>
      </c>
      <c r="G14" s="78">
        <v>34419.529882000003</v>
      </c>
      <c r="H14" s="319">
        <f>(Electricity_Grid!H14/SF!H14)*1000</f>
        <v>5419.6017193360922</v>
      </c>
      <c r="I14" s="319">
        <f>(Electricity_Grid!I14/SF!I14)*1000</f>
        <v>5166.0897982838842</v>
      </c>
      <c r="J14" s="319">
        <f>(Electricity_Grid!J14/SF!J14)*1000</f>
        <v>4480.9681729639233</v>
      </c>
      <c r="K14" s="319">
        <f>(Electricity_Grid!K14/SF!K14)*1000</f>
        <v>3768.2470177246164</v>
      </c>
      <c r="L14" s="319">
        <f>(Electricity_Grid!L14/SF!L14)*1000</f>
        <v>3850.256773508057</v>
      </c>
      <c r="M14" s="319">
        <f>(Electricity_Grid!M14/SF!M14)*1000</f>
        <v>3893.3319381167798</v>
      </c>
      <c r="N14" s="319">
        <f>(Electricity_Grid!N14/SF!N14)*1000</f>
        <v>3448.4360159054686</v>
      </c>
      <c r="O14" s="319">
        <f>(Electricity_Grid!O14/SF!O14)*1000</f>
        <v>4822.4898176022662</v>
      </c>
      <c r="P14" s="319">
        <f>(Electricity_Grid!P14/SF!P14)*1000</f>
        <v>4253.9481945361176</v>
      </c>
      <c r="Q14" s="319">
        <f>(Electricity_Grid!Q14/SF!Q14)*1000</f>
        <v>4108.5966804578457</v>
      </c>
      <c r="R14" s="319">
        <f>(Electricity_Grid!R14/SF!R14)*1000</f>
        <v>3847.7791908817235</v>
      </c>
      <c r="S14" s="319">
        <f>(Electricity_Grid!S14/SF!S14)*1000</f>
        <v>2698.7781122720025</v>
      </c>
      <c r="T14" s="319">
        <f>(Electricity_Grid!T14/SF!T14)*1000</f>
        <v>5050.9844326029915</v>
      </c>
      <c r="U14" s="413">
        <f>(Electricity_Grid!U14/SF!U14)*1000</f>
        <v>5102.2119548593782</v>
      </c>
    </row>
    <row r="15" spans="2:21" ht="17" thickBot="1">
      <c r="B15" s="188" t="s">
        <v>25</v>
      </c>
      <c r="C15" s="82"/>
      <c r="D15" s="78">
        <v>25643.316248800002</v>
      </c>
      <c r="E15" s="78">
        <v>30582.7721155</v>
      </c>
      <c r="F15" s="78">
        <v>29897.047770000001</v>
      </c>
      <c r="G15" s="78">
        <v>31472.388438000002</v>
      </c>
      <c r="H15" s="319">
        <f>(Electricity_Grid!H15/SF!H15)*1000</f>
        <v>5081.4085332230497</v>
      </c>
      <c r="I15" s="319">
        <f>(Electricity_Grid!I15/SF!I15)*1000</f>
        <v>4922.66852770885</v>
      </c>
      <c r="J15" s="319">
        <f>(Electricity_Grid!J15/SF!J15)*1000</f>
        <v>4367.3369864902124</v>
      </c>
      <c r="K15" s="319">
        <f>(Electricity_Grid!K15/SF!K15)*1000</f>
        <v>4115.133030052385</v>
      </c>
      <c r="L15" s="319">
        <f>(Electricity_Grid!L15/SF!L15)*1000</f>
        <v>4139.4523711055972</v>
      </c>
      <c r="M15" s="319">
        <f>(Electricity_Grid!M15/SF!M15)*1000</f>
        <v>4436.3833746898272</v>
      </c>
      <c r="N15" s="319">
        <f>(Electricity_Grid!N15/SF!N15)*1000</f>
        <v>3844.6443341604631</v>
      </c>
      <c r="O15" s="319">
        <f>(Electricity_Grid!O15/SF!O15)*1000</f>
        <v>3316.365108905431</v>
      </c>
      <c r="P15" s="319">
        <f>(Electricity_Grid!P15/SF!P15)*1000</f>
        <v>3821.5501792114701</v>
      </c>
      <c r="Q15" s="319">
        <f>(Electricity_Grid!Q15/SF!Q15)*1000</f>
        <v>4052.9259718775847</v>
      </c>
      <c r="R15" s="319">
        <f>(Electricity_Grid!R15/SF!R15)*1000</f>
        <v>3423.6731458505656</v>
      </c>
      <c r="S15" s="319">
        <f>(Electricity_Grid!S15/SF!S15)*1000</f>
        <v>2363.7527570995308</v>
      </c>
      <c r="T15" s="319">
        <f>(Electricity_Grid!T15/SF!T15)*1000</f>
        <v>3057.8990901571547</v>
      </c>
      <c r="U15" s="413">
        <f>(Electricity_Grid!U15/SF!U15)*1000</f>
        <v>2656.1121450234355</v>
      </c>
    </row>
    <row r="16" spans="2:21" ht="17" thickBot="1">
      <c r="B16" s="188" t="s">
        <v>27</v>
      </c>
      <c r="C16" s="78">
        <v>33802.339789899997</v>
      </c>
      <c r="D16" s="78">
        <v>25884.503594999998</v>
      </c>
      <c r="E16" s="78">
        <v>29612.855920000002</v>
      </c>
      <c r="F16" s="78">
        <v>28422.651153999999</v>
      </c>
      <c r="G16" s="78">
        <v>35606.199775000001</v>
      </c>
      <c r="H16" s="319">
        <f>(Electricity_Grid!H16/SF!H16)*1000</f>
        <v>7660.2662835249048</v>
      </c>
      <c r="I16" s="319">
        <f>(Electricity_Grid!I16/SF!I16)*1000</f>
        <v>7825.2260536398462</v>
      </c>
      <c r="J16" s="319">
        <f>(Electricity_Grid!J16/SF!J16)*1000</f>
        <v>6725.0191570881225</v>
      </c>
      <c r="K16" s="319">
        <f>(Electricity_Grid!K16/SF!K16)*1000</f>
        <v>5930.7701149425293</v>
      </c>
      <c r="L16" s="319">
        <f>(Electricity_Grid!L16/SF!L16)*1000</f>
        <v>5788.1226053639839</v>
      </c>
      <c r="M16" s="319">
        <f>(Electricity_Grid!M16/SF!M16)*1000</f>
        <v>6057.3026819923371</v>
      </c>
      <c r="N16" s="319">
        <f>(Electricity_Grid!N16/SF!N16)*1000</f>
        <v>5481.3927203065132</v>
      </c>
      <c r="O16" s="319">
        <f>(Electricity_Grid!O16/SF!O16)*1000</f>
        <v>6736.5095785440617</v>
      </c>
      <c r="P16" s="319">
        <f>(Electricity_Grid!P16/SF!P16)*1000</f>
        <v>8217.9016025528617</v>
      </c>
      <c r="Q16" s="319">
        <f>(Electricity_Grid!Q16/SF!Q16)*1000</f>
        <v>8878.0306483851746</v>
      </c>
      <c r="R16" s="319">
        <f>(Electricity_Grid!R16/SF!R16)*1000</f>
        <v>7867.5053476873445</v>
      </c>
      <c r="S16" s="319">
        <f>(Electricity_Grid!S16/SF!S16)*1000</f>
        <v>6268.299610758495</v>
      </c>
      <c r="T16" s="319">
        <f>(Electricity_Grid!T16/SF!T16)*1000</f>
        <v>8462.3855945576324</v>
      </c>
      <c r="U16" s="413">
        <f>(Electricity_Grid!U16/SF!U16)*1000</f>
        <v>8242.1222428726724</v>
      </c>
    </row>
    <row r="17" spans="2:21" ht="17" thickBot="1">
      <c r="B17" s="188" t="s">
        <v>29</v>
      </c>
      <c r="C17" s="78">
        <v>27115.660145000002</v>
      </c>
      <c r="D17" s="78">
        <v>19455.070899400002</v>
      </c>
      <c r="E17" s="78">
        <v>32611.9166286</v>
      </c>
      <c r="F17" s="78">
        <v>22112.878865899998</v>
      </c>
      <c r="G17" s="78">
        <v>23708.932350999999</v>
      </c>
      <c r="H17" s="319">
        <f>(Electricity_Grid!H17/SF!H17)*1000</f>
        <v>5809.8592211332816</v>
      </c>
      <c r="I17" s="319">
        <f>(Electricity_Grid!I17/SF!I17)*1000</f>
        <v>5998.3266351735638</v>
      </c>
      <c r="J17" s="319">
        <f>(Electricity_Grid!J17/SF!J17)*1000</f>
        <v>6055.3738043197254</v>
      </c>
      <c r="K17" s="319">
        <f>(Electricity_Grid!K17/SF!K17)*1000</f>
        <v>5087.642482784554</v>
      </c>
      <c r="L17" s="319">
        <f>(Electricity_Grid!L17/SF!L17)*1000</f>
        <v>4835.1430115866415</v>
      </c>
      <c r="M17" s="319">
        <f>(Electricity_Grid!M17/SF!M17)*1000</f>
        <v>4641.6367012150704</v>
      </c>
      <c r="N17" s="319">
        <f>(Electricity_Grid!N17/SF!N17)*1000</f>
        <v>4129.4248983524876</v>
      </c>
      <c r="O17" s="319">
        <f>(Electricity_Grid!O17/SF!O17)*1000</f>
        <v>4849.6368892335904</v>
      </c>
      <c r="P17" s="319">
        <f>(Electricity_Grid!P17/SF!P17)*1000</f>
        <v>4967.0098004653455</v>
      </c>
      <c r="Q17" s="319">
        <f>(Electricity_Grid!Q17/SF!Q17)*1000</f>
        <v>4842.9998354837953</v>
      </c>
      <c r="R17" s="319">
        <f>(Electricity_Grid!R17/SF!R17)*1000</f>
        <v>4573.7502644010438</v>
      </c>
      <c r="S17" s="319">
        <f>(Electricity_Grid!S17/SF!S17)*1000</f>
        <v>3473.7361630120567</v>
      </c>
      <c r="T17" s="319">
        <f>(Electricity_Grid!T17/SF!T17)*1000</f>
        <v>4823.8807022491719</v>
      </c>
      <c r="U17" s="413">
        <f>(Electricity_Grid!U17/SF!U17)*1000</f>
        <v>4665.6137629556515</v>
      </c>
    </row>
    <row r="18" spans="2:21" ht="17" thickBot="1">
      <c r="B18" s="188" t="s">
        <v>31</v>
      </c>
      <c r="C18" s="82"/>
      <c r="D18" s="82"/>
      <c r="E18" s="71">
        <v>26335.824489300001</v>
      </c>
      <c r="F18" s="71">
        <v>29449.343841800001</v>
      </c>
      <c r="G18" s="71">
        <v>26117.360974899999</v>
      </c>
      <c r="H18" s="319">
        <f>(Electricity_Grid!H18/SF!H18)*1000</f>
        <v>7029.7937602738557</v>
      </c>
      <c r="I18" s="319">
        <f>(Electricity_Grid!I18/SF!I18)*1000</f>
        <v>7107.0667186361406</v>
      </c>
      <c r="J18" s="319">
        <f>(Electricity_Grid!J18/SF!J18)*1000</f>
        <v>6070.9315528139778</v>
      </c>
      <c r="K18" s="319">
        <f>(Electricity_Grid!K18/SF!K18)*1000</f>
        <v>5213.7707807283641</v>
      </c>
      <c r="L18" s="319">
        <f>(Electricity_Grid!L18/SF!L18)*1000</f>
        <v>4999.7085190394682</v>
      </c>
      <c r="M18" s="319">
        <f>(Electricity_Grid!M18/SF!M18)*1000</f>
        <v>5146.1624497957937</v>
      </c>
      <c r="N18" s="319">
        <f>(Electricity_Grid!N18/SF!N18)*1000</f>
        <v>4926.268874239523</v>
      </c>
      <c r="O18" s="319">
        <f>(Electricity_Grid!O18/SF!O18)*1000</f>
        <v>4119.7580030164881</v>
      </c>
      <c r="P18" s="319">
        <f>(Electricity_Grid!P18/SF!P18)*1000</f>
        <v>3948.0214882475552</v>
      </c>
      <c r="Q18" s="319">
        <f>(Electricity_Grid!Q18/SF!Q18)*1000</f>
        <v>4452.2140690403166</v>
      </c>
      <c r="R18" s="319">
        <f>(Electricity_Grid!R18/SF!R18)*1000</f>
        <v>4618.6852852954626</v>
      </c>
      <c r="S18" s="319">
        <f>(Electricity_Grid!S18/SF!S18)*1000</f>
        <v>4098.0867325323261</v>
      </c>
      <c r="T18" s="319">
        <f>(Electricity_Grid!T18/SF!T18)*1000</f>
        <v>5540.7124336965553</v>
      </c>
      <c r="U18" s="413">
        <f>(Electricity_Grid!U18/SF!U18)*1000</f>
        <v>4771.841583487264</v>
      </c>
    </row>
    <row r="19" spans="2:21" ht="17" thickBot="1">
      <c r="B19" s="188" t="s">
        <v>33</v>
      </c>
      <c r="C19" s="78">
        <v>10932.7889196</v>
      </c>
      <c r="D19" s="78">
        <v>7756.4843182000004</v>
      </c>
      <c r="E19" s="78">
        <v>25730.283267999999</v>
      </c>
      <c r="F19" s="78">
        <v>5956.3838859999996</v>
      </c>
      <c r="G19" s="78">
        <v>11052.895769000001</v>
      </c>
      <c r="H19" s="319">
        <f>(Electricity_Grid!H19/SF!H19)*1000</f>
        <v>10658.005669501417</v>
      </c>
      <c r="I19" s="319">
        <f>(Electricity_Grid!I19/SF!I19)*1000</f>
        <v>10361.265632816408</v>
      </c>
      <c r="J19" s="319">
        <f>(Electricity_Grid!J19/SF!J19)*1000</f>
        <v>10204.085376021345</v>
      </c>
      <c r="K19" s="319">
        <f>(Electricity_Grid!K19/SF!K19)*1000</f>
        <v>9004.2971485742855</v>
      </c>
      <c r="L19" s="319">
        <f>(Electricity_Grid!L19/SF!L19)*1000</f>
        <v>9454.0520260130052</v>
      </c>
      <c r="M19" s="319">
        <f>(Electricity_Grid!M19/SF!M19)*1000</f>
        <v>10451.354010338502</v>
      </c>
      <c r="N19" s="319">
        <f>(Electricity_Grid!N19/SF!N19)*1000</f>
        <v>8994.1887610471913</v>
      </c>
      <c r="O19" s="319">
        <f>(Electricity_Grid!O19/SF!O19)*1000</f>
        <v>10434.827413706853</v>
      </c>
      <c r="P19" s="319">
        <f>(Electricity_Grid!P19/SF!P19)*1000</f>
        <v>8207.5287643821921</v>
      </c>
      <c r="Q19" s="319">
        <f>(Electricity_Grid!Q19/SF!Q19)*1000</f>
        <v>8714.0903785225946</v>
      </c>
      <c r="R19" s="319">
        <f>(Electricity_Grid!R19/SF!R19)*1000</f>
        <v>7407.2169418042358</v>
      </c>
      <c r="S19" s="319">
        <f>(Electricity_Grid!S19/SF!S19)*1000</f>
        <v>5690.1550775387686</v>
      </c>
      <c r="T19" s="319">
        <f>(Electricity_Grid!T19/SF!T19)*1000</f>
        <v>8210.4485576121388</v>
      </c>
      <c r="U19" s="413">
        <f>(Electricity_Grid!U19/SF!U19)*1000</f>
        <v>7738.9628147407029</v>
      </c>
    </row>
    <row r="20" spans="2:21" ht="17" thickBot="1">
      <c r="B20" s="188" t="s">
        <v>74</v>
      </c>
      <c r="C20" s="78">
        <v>41438.364370000003</v>
      </c>
      <c r="D20" s="78">
        <v>40902.609424000002</v>
      </c>
      <c r="E20" s="78">
        <v>39202.730229000001</v>
      </c>
      <c r="F20" s="78">
        <v>50312.264365000003</v>
      </c>
      <c r="G20" s="78">
        <v>59819.244203000002</v>
      </c>
      <c r="H20" s="319">
        <f>(Electricity_Grid!H20/SF!H20)*1000</f>
        <v>6913.381085264311</v>
      </c>
      <c r="I20" s="319">
        <f>(Electricity_Grid!I20/SF!I20)*1000</f>
        <v>6122.614757154317</v>
      </c>
      <c r="J20" s="319">
        <f>(Electricity_Grid!J20/SF!J20)*1000</f>
        <v>5852.3764870696959</v>
      </c>
      <c r="K20" s="319">
        <f>(Electricity_Grid!K20/SF!K20)*1000</f>
        <v>5577.3344028560768</v>
      </c>
      <c r="L20" s="319">
        <f>(Electricity_Grid!L20/SF!L20)*1000</f>
        <v>5289.4964581473905</v>
      </c>
      <c r="M20" s="319">
        <f>(Electricity_Grid!M20/SF!M20)*1000</f>
        <v>5812.4851716696985</v>
      </c>
      <c r="N20" s="319">
        <f>(Electricity_Grid!N20/SF!N20)*1000</f>
        <v>6090.0297131494808</v>
      </c>
      <c r="O20" s="319">
        <f>(Electricity_Grid!O20/SF!O20)*1000</f>
        <v>7112.5326223266638</v>
      </c>
      <c r="P20" s="319">
        <f>(Electricity_Grid!P20/SF!P20)*1000</f>
        <v>4737.0646119779012</v>
      </c>
      <c r="Q20" s="319">
        <f>(Electricity_Grid!Q20/SF!Q20)*1000</f>
        <v>2529.6137290567485</v>
      </c>
      <c r="R20" s="319">
        <f>(Electricity_Grid!R20/SF!R20)*1000</f>
        <v>2064.8718267373156</v>
      </c>
      <c r="S20" s="319">
        <f>(Electricity_Grid!S20/SF!S20)*1000</f>
        <v>365.59601414481489</v>
      </c>
      <c r="T20" s="319">
        <f>(Electricity_Grid!T20/SF!T20)*1000</f>
        <v>2145.4328742670568</v>
      </c>
      <c r="U20" s="413">
        <f>(Electricity_Grid!U20/SF!U20)*1000</f>
        <v>2410.3555409939781</v>
      </c>
    </row>
    <row r="21" spans="2:21" ht="17" thickBot="1">
      <c r="B21" s="188" t="s">
        <v>36</v>
      </c>
      <c r="C21" s="83">
        <v>26357.37327</v>
      </c>
      <c r="D21" s="83">
        <v>20248.715385</v>
      </c>
      <c r="E21" s="83">
        <v>23215.996350099998</v>
      </c>
      <c r="F21" s="83">
        <v>27176.884966099999</v>
      </c>
      <c r="G21" s="83">
        <v>30401.557197400001</v>
      </c>
      <c r="H21" s="319">
        <f>(Electricity_Grid!H21/SF!H21)*1000</f>
        <v>4981.1735339614679</v>
      </c>
      <c r="I21" s="319">
        <f>(Electricity_Grid!I21/SF!I21)*1000</f>
        <v>5066.5166643228804</v>
      </c>
      <c r="J21" s="319">
        <f>(Electricity_Grid!J21/SF!J21)*1000</f>
        <v>4430.1785965405716</v>
      </c>
      <c r="K21" s="319">
        <f>(Electricity_Grid!K21/SF!K21)*1000</f>
        <v>3452.1533539586558</v>
      </c>
      <c r="L21" s="319">
        <f>(Electricity_Grid!L21/SF!L21)*1000</f>
        <v>3517.1846435100547</v>
      </c>
      <c r="M21" s="319">
        <f>(Electricity_Grid!M21/SF!M21)*1000</f>
        <v>3084.3188091933689</v>
      </c>
      <c r="N21" s="319">
        <f>(Electricity_Grid!N21/SF!N21)*1000</f>
        <v>5659.5799844438689</v>
      </c>
      <c r="O21" s="319">
        <f>(Electricity_Grid!O21/SF!O21)*1000</f>
        <v>4024.7174731961754</v>
      </c>
      <c r="P21" s="319">
        <f>(Electricity_Grid!P21/SF!P21)*1000</f>
        <v>3695.0300413334662</v>
      </c>
      <c r="Q21" s="319">
        <f>(Electricity_Grid!Q21/SF!Q21)*1000</f>
        <v>3503.8647588334629</v>
      </c>
      <c r="R21" s="319">
        <f>(Electricity_Grid!R21/SF!R21)*1000</f>
        <v>3332.8441019260313</v>
      </c>
      <c r="S21" s="319">
        <f>(Electricity_Grid!S21/SF!S21)*1000</f>
        <v>2928.8041339207493</v>
      </c>
      <c r="T21" s="319">
        <f>(Electricity_Grid!T21/SF!T21)*1000</f>
        <v>3608.9762959765371</v>
      </c>
      <c r="U21" s="413">
        <f>(Electricity_Grid!U21/SF!U21)*1000</f>
        <v>3539.2773256478295</v>
      </c>
    </row>
    <row r="22" spans="2:21" ht="17" thickBot="1">
      <c r="B22" s="188" t="s">
        <v>67</v>
      </c>
      <c r="C22" s="83">
        <v>42607.673790699999</v>
      </c>
      <c r="D22" s="83">
        <v>34021.311665000001</v>
      </c>
      <c r="E22" s="83">
        <v>36591.378233000003</v>
      </c>
      <c r="F22" s="83">
        <v>47132.2717405</v>
      </c>
      <c r="G22" s="83">
        <v>51203.201454000002</v>
      </c>
      <c r="H22" s="319">
        <f>(Electricity_Grid!H22/SF!H22)*1000</f>
        <v>5820.9887982867967</v>
      </c>
      <c r="I22" s="319">
        <f>(Electricity_Grid!I22/SF!I22)*1000</f>
        <v>5817.7106498640969</v>
      </c>
      <c r="J22" s="319">
        <f>(Electricity_Grid!J22/SF!J22)*1000</f>
        <v>4827.8807347006014</v>
      </c>
      <c r="K22" s="319">
        <f>(Electricity_Grid!K22/SF!K22)*1000</f>
        <v>3804.3880240507369</v>
      </c>
      <c r="L22" s="319">
        <f>(Electricity_Grid!L22/SF!L22)*1000</f>
        <v>3097.6417461113897</v>
      </c>
      <c r="M22" s="319">
        <f>(Electricity_Grid!M22/SF!M22)*1000</f>
        <v>3897.1854616156543</v>
      </c>
      <c r="N22" s="319">
        <f>(Electricity_Grid!N22/SF!N22)*1000</f>
        <v>4865.9323256397392</v>
      </c>
      <c r="O22" s="319">
        <f>(Electricity_Grid!O22/SF!O22)*1000</f>
        <v>5859.4847591570497</v>
      </c>
      <c r="P22" s="319">
        <f>(Electricity_Grid!P22/SF!P22)*1000</f>
        <v>5503.8494104365282</v>
      </c>
      <c r="Q22" s="319">
        <f>(Electricity_Grid!Q22/SF!Q22)*1000</f>
        <v>4589.0962117410936</v>
      </c>
      <c r="R22" s="319">
        <f>(Electricity_Grid!R22/SF!R22)*1000</f>
        <v>4248.6687782237823</v>
      </c>
      <c r="S22" s="319">
        <f>(Electricity_Grid!S22/SF!S22)*1000</f>
        <v>4003.7631710988462</v>
      </c>
      <c r="T22" s="319">
        <f>(Electricity_Grid!T22/SF!T22)*1000</f>
        <v>6282.2456723532368</v>
      </c>
      <c r="U22" s="413">
        <f>(Electricity_Grid!U22/SF!U22)*1000</f>
        <v>2978.9083271619174</v>
      </c>
    </row>
    <row r="23" spans="2:21" ht="17" thickBot="1">
      <c r="B23" s="188" t="s">
        <v>39</v>
      </c>
      <c r="C23" s="83">
        <v>24265.77248</v>
      </c>
      <c r="D23" s="83">
        <v>27312.000304000001</v>
      </c>
      <c r="E23" s="83">
        <v>27225.040879</v>
      </c>
      <c r="F23" s="83">
        <v>29110.445275999999</v>
      </c>
      <c r="G23" s="83">
        <v>28463.616307</v>
      </c>
      <c r="H23" s="319">
        <f>(Electricity_Grid!H23/SF!H23)*1000</f>
        <v>5751.6115241635689</v>
      </c>
      <c r="I23" s="319">
        <f>(Electricity_Grid!I23/SF!I23)*1000</f>
        <v>5876.9312267657997</v>
      </c>
      <c r="J23" s="319">
        <f>(Electricity_Grid!J23/SF!J23)*1000</f>
        <v>5610.0427509293677</v>
      </c>
      <c r="K23" s="319">
        <f>(Electricity_Grid!K23/SF!K23)*1000</f>
        <v>4954.855018587361</v>
      </c>
      <c r="L23" s="319">
        <f>(Electricity_Grid!L23/SF!L23)*1000</f>
        <v>4125.5185873605942</v>
      </c>
      <c r="M23" s="319">
        <f>(Electricity_Grid!M23/SF!M23)*1000</f>
        <v>4561.6319702602223</v>
      </c>
      <c r="N23" s="319">
        <f>(Electricity_Grid!N23/SF!N23)*1000</f>
        <v>4463.9442379182155</v>
      </c>
      <c r="O23" s="319">
        <f>(Electricity_Grid!O23/SF!O23)*1000</f>
        <v>4900.4832713754649</v>
      </c>
      <c r="P23" s="319">
        <f>(Electricity_Grid!P23/SF!P23)*1000</f>
        <v>4431.4628252788107</v>
      </c>
      <c r="Q23" s="319">
        <f>(Electricity_Grid!Q23/SF!Q23)*1000</f>
        <v>5040.291821561339</v>
      </c>
      <c r="R23" s="319">
        <f>(Electricity_Grid!R23/SF!R23)*1000</f>
        <v>4319.9851301115241</v>
      </c>
      <c r="S23" s="319">
        <f>(Electricity_Grid!S23/SF!S23)*1000</f>
        <v>3227.1431226765799</v>
      </c>
      <c r="T23" s="319">
        <f>(Electricity_Grid!T23/SF!T23)*1000</f>
        <v>4037.7695167286242</v>
      </c>
      <c r="U23" s="413">
        <f>(Electricity_Grid!U23/SF!U23)*1000</f>
        <v>3652.8828996282527</v>
      </c>
    </row>
    <row r="24" spans="2:21" ht="17" thickBot="1">
      <c r="B24" s="188" t="s">
        <v>41</v>
      </c>
      <c r="C24" s="83">
        <v>32076.397067999998</v>
      </c>
      <c r="D24" s="83">
        <v>29721.626858</v>
      </c>
      <c r="E24" s="83">
        <v>28264.888778</v>
      </c>
      <c r="F24" s="83">
        <v>29371.789300199998</v>
      </c>
      <c r="G24" s="83">
        <v>26528.464816</v>
      </c>
      <c r="H24" s="319">
        <f>(Electricity_Grid!H24/SF!H24)*1000</f>
        <v>7071.6533352549777</v>
      </c>
      <c r="I24" s="319">
        <f>(Electricity_Grid!I24/SF!I24)*1000</f>
        <v>6268.4057553265602</v>
      </c>
      <c r="J24" s="319">
        <f>(Electricity_Grid!J24/SF!J24)*1000</f>
        <v>5381.665105330163</v>
      </c>
      <c r="K24" s="319">
        <f>(Electricity_Grid!K24/SF!K24)*1000</f>
        <v>4749.7946241983136</v>
      </c>
      <c r="L24" s="319">
        <f>(Electricity_Grid!L24/SF!L24)*1000</f>
        <v>4649.8306550407151</v>
      </c>
      <c r="M24" s="319">
        <f>(Electricity_Grid!M24/SF!M24)*1000</f>
        <v>4749.1052340803726</v>
      </c>
      <c r="N24" s="319">
        <f>(Electricity_Grid!N24/SF!N24)*1000</f>
        <v>4851.7522999687726</v>
      </c>
      <c r="O24" s="319">
        <f>(Electricity_Grid!O24/SF!O24)*1000</f>
        <v>5384.6076241262517</v>
      </c>
      <c r="P24" s="319">
        <f>(Electricity_Grid!P24/SF!P24)*1000</f>
        <v>5566.8228003170716</v>
      </c>
      <c r="Q24" s="319">
        <f>(Electricity_Grid!Q24/SF!Q24)*1000</f>
        <v>5243.8711537075742</v>
      </c>
      <c r="R24" s="319">
        <f>(Electricity_Grid!R24/SF!R24)*1000</f>
        <v>4883.3801734284543</v>
      </c>
      <c r="S24" s="319">
        <f>(Electricity_Grid!S24/SF!S24)*1000</f>
        <v>3833.6816314765438</v>
      </c>
      <c r="T24" s="319">
        <f>(Electricity_Grid!T24/SF!T24)*1000</f>
        <v>6241.5003242775811</v>
      </c>
      <c r="U24" s="413">
        <f>(Electricity_Grid!U24/SF!U24)*1000</f>
        <v>6095.8564531238735</v>
      </c>
    </row>
    <row r="25" spans="2:21" ht="16">
      <c r="B25" s="188" t="s">
        <v>44</v>
      </c>
      <c r="C25" s="78">
        <v>22718.333640000001</v>
      </c>
      <c r="D25" s="78">
        <v>17898.64788</v>
      </c>
      <c r="E25" s="78">
        <v>24041.182843999999</v>
      </c>
      <c r="F25" s="78">
        <v>32948.501787000001</v>
      </c>
      <c r="G25" s="78">
        <v>36239.388079279997</v>
      </c>
      <c r="H25" s="319">
        <f>(Electricity_Grid!H25/SF!H25)*1000</f>
        <v>6016.0236018471014</v>
      </c>
      <c r="I25" s="319">
        <f>(Electricity_Grid!I25/SF!I25)*1000</f>
        <v>5786.2630408756631</v>
      </c>
      <c r="J25" s="319">
        <f>(Electricity_Grid!J25/SF!J25)*1000</f>
        <v>5456.4853771164699</v>
      </c>
      <c r="K25" s="319">
        <f>(Electricity_Grid!K25/SF!K25)*1000</f>
        <v>4435.9945271079187</v>
      </c>
      <c r="L25" s="319">
        <f>(Electricity_Grid!L25/SF!L25)*1000</f>
        <v>4447.0172738156325</v>
      </c>
      <c r="M25" s="319">
        <f>(Electricity_Grid!M25/SF!M25)*1000</f>
        <v>4750.9201299811866</v>
      </c>
      <c r="N25" s="319">
        <f>(Electricity_Grid!N25/SF!N25)*1000</f>
        <v>4198.4436463143493</v>
      </c>
      <c r="O25" s="319">
        <f>(Electricity_Grid!O25/SF!O25)*1000</f>
        <v>4998.2144689584402</v>
      </c>
      <c r="P25" s="319">
        <f>(Electricity_Grid!P25/SF!P25)*1000</f>
        <v>5951.7566030582593</v>
      </c>
      <c r="Q25" s="319">
        <f>(Electricity_Grid!Q25/SF!Q25)*1000</f>
        <v>5862.9928598508786</v>
      </c>
      <c r="R25" s="319">
        <f>(Electricity_Grid!R25/SF!R25)*1000</f>
        <v>5033.9473019082525</v>
      </c>
      <c r="S25" s="319">
        <f>(Electricity_Grid!S25/SF!S25)*1000</f>
        <v>3583.6598003285731</v>
      </c>
      <c r="T25" s="319">
        <f>(Electricity_Grid!T25/SF!T25)*1000</f>
        <v>6166.6719322633644</v>
      </c>
      <c r="U25" s="550">
        <f>(Electricity_Grid!U25/SF!U25)*1000</f>
        <v>6332.2333501832427</v>
      </c>
    </row>
    <row r="26" spans="2:21" ht="17" thickBot="1">
      <c r="B26" s="188" t="s">
        <v>46</v>
      </c>
      <c r="C26" s="77" t="s">
        <v>102</v>
      </c>
      <c r="D26" s="70"/>
      <c r="E26" s="70"/>
      <c r="F26" s="70"/>
      <c r="G26" s="70"/>
      <c r="H26" s="688" t="s">
        <v>97</v>
      </c>
      <c r="I26" s="689"/>
      <c r="J26" s="690"/>
      <c r="K26" s="463"/>
      <c r="L26" s="463"/>
      <c r="M26" s="463"/>
      <c r="N26" s="463"/>
      <c r="O26" s="463"/>
      <c r="P26" s="463"/>
      <c r="Q26" s="463"/>
      <c r="R26" s="463"/>
      <c r="S26" s="463"/>
      <c r="T26" s="536"/>
      <c r="U26" s="551"/>
    </row>
    <row r="27" spans="2:21" ht="17" thickBot="1">
      <c r="B27" s="188" t="s">
        <v>49</v>
      </c>
      <c r="C27" s="78">
        <v>121657.29509</v>
      </c>
      <c r="D27" s="78">
        <v>85301.747499999998</v>
      </c>
      <c r="E27" s="78">
        <v>98797.827409999998</v>
      </c>
      <c r="F27" s="78">
        <v>109995.04498000001</v>
      </c>
      <c r="G27" s="78">
        <v>127642.892324</v>
      </c>
      <c r="H27" s="319">
        <f>(Electricity_Grid!H27/SF!H27)*1000</f>
        <v>6662.7878205128209</v>
      </c>
      <c r="I27" s="319">
        <f>(Electricity_Grid!I27/SF!I27)*1000</f>
        <v>6136.0634615384615</v>
      </c>
      <c r="J27" s="319">
        <f>(Electricity_Grid!J27/SF!J27)*1000</f>
        <v>5763.4865384615387</v>
      </c>
      <c r="K27" s="319">
        <f>(Electricity_Grid!K27/SF!K27)*1000</f>
        <v>5036.0506410256412</v>
      </c>
      <c r="L27" s="319">
        <f>(Electricity_Grid!L27/SF!L27)*1000</f>
        <v>4670.3262820512819</v>
      </c>
      <c r="M27" s="319">
        <f>(Electricity_Grid!M27/SF!M27)*1000</f>
        <v>5246.5217948717946</v>
      </c>
      <c r="N27" s="319">
        <f>(Electricity_Grid!N27/SF!N27)*1000</f>
        <v>5297.3391025641031</v>
      </c>
      <c r="O27" s="319">
        <f>(Electricity_Grid!O27/SF!O27)*1000</f>
        <v>6063.289102564102</v>
      </c>
      <c r="P27" s="319">
        <f>(Electricity_Grid!P27/SF!P27)*1000</f>
        <v>6219.85</v>
      </c>
      <c r="Q27" s="319">
        <f>(Electricity_Grid!Q27/SF!Q27)*1000</f>
        <v>6264.8724358974359</v>
      </c>
      <c r="R27" s="319">
        <f>(Electricity_Grid!R27/SF!R27)*1000</f>
        <v>6209.6993589743588</v>
      </c>
      <c r="S27" s="319">
        <f>(Electricity_Grid!S27/SF!S27)*1000</f>
        <v>5327.3019230769223</v>
      </c>
      <c r="T27" s="319">
        <f>(Electricity_Grid!T27/SF!T27)*1000</f>
        <v>7424.83717948718</v>
      </c>
      <c r="U27" s="413">
        <f>(Electricity_Grid!U27/SF!U27)*1000</f>
        <v>7105.5570512820505</v>
      </c>
    </row>
    <row r="28" spans="2:21" ht="17" thickBot="1">
      <c r="B28" s="188" t="s">
        <v>51</v>
      </c>
      <c r="C28" s="78">
        <v>125164.690044</v>
      </c>
      <c r="D28" s="78">
        <v>97503.075899999996</v>
      </c>
      <c r="E28" s="78">
        <v>134490.85352500001</v>
      </c>
      <c r="F28" s="78">
        <v>123193.655011</v>
      </c>
      <c r="G28" s="78">
        <v>129957.0303688</v>
      </c>
      <c r="H28" s="319">
        <f>(Electricity_Grid!H28/SF!H28)*1000</f>
        <v>6172.3881042286412</v>
      </c>
      <c r="I28" s="319">
        <f>(Electricity_Grid!I28/SF!I28)*1000</f>
        <v>6424.8135425634382</v>
      </c>
      <c r="J28" s="319">
        <f>(Electricity_Grid!J28/SF!J28)*1000</f>
        <v>5087.0869168676854</v>
      </c>
      <c r="K28" s="319">
        <f>(Electricity_Grid!K28/SF!K28)*1000</f>
        <v>4468.5801106385152</v>
      </c>
      <c r="L28" s="319">
        <f>(Electricity_Grid!L28/SF!L28)*1000</f>
        <v>4320.0393798106024</v>
      </c>
      <c r="M28" s="319">
        <f>(Electricity_Grid!M28/SF!M28)*1000</f>
        <v>4525.2324857866161</v>
      </c>
      <c r="N28" s="319">
        <f>(Electricity_Grid!N28/SF!N28)*1000</f>
        <v>4474.389911267569</v>
      </c>
      <c r="O28" s="319">
        <f>(Electricity_Grid!O28/SF!O28)*1000</f>
        <v>4996.0202524740234</v>
      </c>
      <c r="P28" s="319">
        <f>(Electricity_Grid!P28/SF!P28)*1000</f>
        <v>5344.9765170177043</v>
      </c>
      <c r="Q28" s="319">
        <f>(Electricity_Grid!Q28/SF!Q28)*1000</f>
        <v>5392.4209252751052</v>
      </c>
      <c r="R28" s="319">
        <f>(Electricity_Grid!R28/SF!R28)*1000</f>
        <v>4578.762788171096</v>
      </c>
      <c r="S28" s="319">
        <f>(Electricity_Grid!S28/SF!S28)*1000</f>
        <v>3412.8593650976554</v>
      </c>
      <c r="T28" s="319">
        <f>(Electricity_Grid!T28/SF!T28)*1000</f>
        <v>5079.6833718796033</v>
      </c>
      <c r="U28" s="413">
        <f>(Electricity_Grid!U28/SF!U28)*1000</f>
        <v>4246.2713684886294</v>
      </c>
    </row>
    <row r="29" spans="2:21" ht="17" thickBot="1">
      <c r="B29" s="188" t="s">
        <v>53</v>
      </c>
      <c r="C29" s="78">
        <v>98155.086769999994</v>
      </c>
      <c r="D29" s="78">
        <v>77789.769950999995</v>
      </c>
      <c r="E29" s="78">
        <v>87303.823920039998</v>
      </c>
      <c r="F29" s="78">
        <v>109670.25810200001</v>
      </c>
      <c r="G29" s="78">
        <v>109126.28381199999</v>
      </c>
      <c r="H29" s="319">
        <f>(Electricity_Grid!H29/SF!H29)*1000</f>
        <v>7050.5019722532843</v>
      </c>
      <c r="I29" s="319">
        <f>(Electricity_Grid!I29/SF!I29)*1000</f>
        <v>7140.1706828542992</v>
      </c>
      <c r="J29" s="319">
        <f>(Electricity_Grid!J29/SF!J29)*1000</f>
        <v>6880.8900330552096</v>
      </c>
      <c r="K29" s="319">
        <f>(Electricity_Grid!K29/SF!K29)*1000</f>
        <v>6004.036053527323</v>
      </c>
      <c r="L29" s="319">
        <f>(Electricity_Grid!L29/SF!L29)*1000</f>
        <v>5406.614728615491</v>
      </c>
      <c r="M29" s="319">
        <f>(Electricity_Grid!M29/SF!M29)*1000</f>
        <v>5230.1035893780945</v>
      </c>
      <c r="N29" s="319">
        <f>(Electricity_Grid!N29/SF!N29)*1000</f>
        <v>5848.0308187615974</v>
      </c>
      <c r="O29" s="319">
        <f>(Electricity_Grid!O29/SF!O29)*1000</f>
        <v>6744.8807431892747</v>
      </c>
      <c r="P29" s="319">
        <f>(Electricity_Grid!P29/SF!P29)*1000</f>
        <v>6692.5293994765234</v>
      </c>
      <c r="Q29" s="319">
        <f>(Electricity_Grid!Q29/SF!Q29)*1000</f>
        <v>6578.5141129775502</v>
      </c>
      <c r="R29" s="319">
        <f>(Electricity_Grid!R29/SF!R29)*1000</f>
        <v>5964.8011157669671</v>
      </c>
      <c r="S29" s="319">
        <f>(Electricity_Grid!S29/SF!S29)*1000</f>
        <v>4377.9881787684781</v>
      </c>
      <c r="T29" s="319">
        <f>(Electricity_Grid!T29/SF!T29)*1000</f>
        <v>7887.7431524103276</v>
      </c>
      <c r="U29" s="413">
        <f>(Electricity_Grid!U29/SF!U29)*1000</f>
        <v>8536.7766868602466</v>
      </c>
    </row>
    <row r="30" spans="2:21" ht="17" thickBot="1">
      <c r="B30" s="188" t="s">
        <v>55</v>
      </c>
      <c r="C30" s="78">
        <v>142026.84080000001</v>
      </c>
      <c r="D30" s="78">
        <v>98849.460619999998</v>
      </c>
      <c r="E30" s="78">
        <v>107521.101337</v>
      </c>
      <c r="F30" s="78">
        <v>116594.53432999999</v>
      </c>
      <c r="G30" s="78">
        <v>122159.89023200001</v>
      </c>
      <c r="H30" s="319">
        <f>(Electricity_Grid!H30/SF!H30)*1000</f>
        <v>5787.5164395812508</v>
      </c>
      <c r="I30" s="319">
        <f>(Electricity_Grid!I30/SF!I30)*1000</f>
        <v>4414.2606133936551</v>
      </c>
      <c r="J30" s="319">
        <f>(Electricity_Grid!J30/SF!J30)*1000</f>
        <v>4057.3480982692408</v>
      </c>
      <c r="K30" s="319">
        <f>(Electricity_Grid!K30/SF!K30)*1000</f>
        <v>3632.2789205113368</v>
      </c>
      <c r="L30" s="319">
        <f>(Electricity_Grid!L30/SF!L30)*1000</f>
        <v>3284.6946183386817</v>
      </c>
      <c r="M30" s="319">
        <f>(Electricity_Grid!M30/SF!M30)*1000</f>
        <v>3568.7563785575253</v>
      </c>
      <c r="N30" s="319">
        <f>(Electricity_Grid!N30/SF!N30)*1000</f>
        <v>4117.0387711084222</v>
      </c>
      <c r="O30" s="319">
        <f>(Electricity_Grid!O30/SF!O30)*1000</f>
        <v>4554.4179073070645</v>
      </c>
      <c r="P30" s="319">
        <f>(Electricity_Grid!P30/SF!P30)*1000</f>
        <v>4673.7771581882271</v>
      </c>
      <c r="Q30" s="319">
        <f>(Electricity_Grid!Q30/SF!Q30)*1000</f>
        <v>4295.419538113525</v>
      </c>
      <c r="R30" s="319">
        <f>(Electricity_Grid!R30/SF!R30)*1000</f>
        <v>3742.1321479299281</v>
      </c>
      <c r="S30" s="319">
        <f>(Electricity_Grid!S30/SF!S30)*1000</f>
        <v>2892.7413330527638</v>
      </c>
      <c r="T30" s="319">
        <f>(Electricity_Grid!T30/SF!T30)*1000</f>
        <v>5118.1335157030881</v>
      </c>
      <c r="U30" s="413">
        <f>(Electricity_Grid!U30/SF!U30)*1000</f>
        <v>5346.010836971961</v>
      </c>
    </row>
    <row r="31" spans="2:21" ht="17" thickBot="1">
      <c r="B31" s="188" t="s">
        <v>57</v>
      </c>
      <c r="C31" s="78">
        <v>118871.85408</v>
      </c>
      <c r="D31" s="78">
        <v>92457.625209999998</v>
      </c>
      <c r="E31" s="78">
        <v>102516.34507</v>
      </c>
      <c r="F31" s="78">
        <v>102295.216596</v>
      </c>
      <c r="G31" s="78">
        <v>111983.064638</v>
      </c>
      <c r="H31" s="319">
        <f>(Electricity_Grid!H31/SF!H31)*1000</f>
        <v>4528.3270507821544</v>
      </c>
      <c r="I31" s="319">
        <f>(Electricity_Grid!I31/SF!I31)*1000</f>
        <v>4224.8006409128375</v>
      </c>
      <c r="J31" s="319">
        <f>(Electricity_Grid!J31/SF!J31)*1000</f>
        <v>3683.2723601707862</v>
      </c>
      <c r="K31" s="319">
        <f>(Electricity_Grid!K31/SF!K31)*1000</f>
        <v>3462.8062164840562</v>
      </c>
      <c r="L31" s="319">
        <f>(Electricity_Grid!L31/SF!L31)*1000</f>
        <v>2791.2629317131455</v>
      </c>
      <c r="M31" s="319">
        <f>(Electricity_Grid!M31/SF!M31)*1000</f>
        <v>3485.4442396569452</v>
      </c>
      <c r="N31" s="319">
        <f>(Electricity_Grid!N31/SF!N31)*1000</f>
        <v>3388.8914615961694</v>
      </c>
      <c r="O31" s="319">
        <f>(Electricity_Grid!O31/SF!O31)*1000</f>
        <v>4013.6925655963182</v>
      </c>
      <c r="P31" s="319">
        <f>(Electricity_Grid!P31/SF!P31)*1000</f>
        <v>3911.6239545803965</v>
      </c>
      <c r="Q31" s="319">
        <f>(Electricity_Grid!Q31/SF!Q31)*1000</f>
        <v>3995.2339054005247</v>
      </c>
      <c r="R31" s="319">
        <f>(Electricity_Grid!R31/SF!R31)*1000</f>
        <v>3643.8803011919872</v>
      </c>
      <c r="S31" s="319">
        <f>(Electricity_Grid!S31/SF!S31)*1000</f>
        <v>3151.8731881708982</v>
      </c>
      <c r="T31" s="319">
        <f>(Electricity_Grid!T31/SF!T31)*1000</f>
        <v>4727.0387418843948</v>
      </c>
      <c r="U31" s="413">
        <f>(Electricity_Grid!U31/SF!U31)*1000</f>
        <v>7918.4859823471115</v>
      </c>
    </row>
    <row r="32" spans="2:21" ht="17" thickBot="1">
      <c r="B32" s="188" t="s">
        <v>68</v>
      </c>
      <c r="C32" s="83">
        <v>40572.027065000002</v>
      </c>
      <c r="D32" s="83">
        <v>30494.902054999999</v>
      </c>
      <c r="E32" s="83">
        <v>34095.178420999997</v>
      </c>
      <c r="F32" s="83">
        <v>36995.109172999997</v>
      </c>
      <c r="G32" s="83">
        <v>35004.631496000002</v>
      </c>
      <c r="H32" s="319">
        <f>(Electricity_Grid!H32/SF!H32)*1000</f>
        <v>7627.9152127493362</v>
      </c>
      <c r="I32" s="319">
        <f>(Electricity_Grid!I32/SF!I32)*1000</f>
        <v>6864.2961304098744</v>
      </c>
      <c r="J32" s="319">
        <f>(Electricity_Grid!J32/SF!J32)*1000</f>
        <v>6326.1757200145821</v>
      </c>
      <c r="K32" s="319">
        <f>(Electricity_Grid!K32/SF!K32)*1000</f>
        <v>6380.19113587834</v>
      </c>
      <c r="L32" s="319">
        <f>(Electricity_Grid!L32/SF!L32)*1000</f>
        <v>5929.3786781938443</v>
      </c>
      <c r="M32" s="319">
        <f>(Electricity_Grid!M32/SF!M32)*1000</f>
        <v>6431.0712983698768</v>
      </c>
      <c r="N32" s="319">
        <f>(Electricity_Grid!N32/SF!N32)*1000</f>
        <v>6092.1644706004899</v>
      </c>
      <c r="O32" s="319">
        <f>(Electricity_Grid!O32/SF!O32)*1000</f>
        <v>7196.8308942242593</v>
      </c>
      <c r="P32" s="319">
        <f>(Electricity_Grid!P32/SF!P32)*1000</f>
        <v>6962.1373886776737</v>
      </c>
      <c r="Q32" s="319">
        <f>(Electricity_Grid!Q32/SF!Q32)*1000</f>
        <v>7438.675069006822</v>
      </c>
      <c r="R32" s="319">
        <f>(Electricity_Grid!R32/SF!R32)*1000</f>
        <v>6671.0067184000836</v>
      </c>
      <c r="S32" s="319">
        <f>(Electricity_Grid!S32/SF!S32)*1000</f>
        <v>5428.4594552367071</v>
      </c>
      <c r="T32" s="319">
        <f>(Electricity_Grid!T32/SF!T32)*1000</f>
        <v>7631.7483464402894</v>
      </c>
      <c r="U32" s="413">
        <f>(Electricity_Grid!U32/SF!U32)*1000</f>
        <v>7696.2840477058498</v>
      </c>
    </row>
    <row r="33" spans="2:21" ht="17" thickBot="1">
      <c r="B33" s="188" t="s">
        <v>59</v>
      </c>
      <c r="C33" s="82"/>
      <c r="D33" s="82"/>
      <c r="E33" s="82"/>
      <c r="F33" s="78">
        <v>203038.9471202</v>
      </c>
      <c r="G33" s="78">
        <v>257141.293301</v>
      </c>
      <c r="H33" s="319">
        <f>(Electricity_Grid!H33/SF!H33)*1000</f>
        <v>11423.06984182612</v>
      </c>
      <c r="I33" s="319">
        <f>(Electricity_Grid!I33/SF!I33)*1000</f>
        <v>11099.190003627955</v>
      </c>
      <c r="J33" s="319">
        <f>(Electricity_Grid!J33/SF!J33)*1000</f>
        <v>9844.0791535760018</v>
      </c>
      <c r="K33" s="319">
        <f>(Electricity_Grid!K33/SF!K33)*1000</f>
        <v>9214.8255003245413</v>
      </c>
      <c r="L33" s="319">
        <f>(Electricity_Grid!L33/SF!L33)*1000</f>
        <v>9143.7045117439611</v>
      </c>
      <c r="M33" s="319">
        <f>(Electricity_Grid!M33/SF!M33)*1000</f>
        <v>9722.9661859832613</v>
      </c>
      <c r="N33" s="319">
        <f>(Electricity_Grid!N33/SF!N33)*1000</f>
        <v>9507.4311367343962</v>
      </c>
      <c r="O33" s="319">
        <f>(Electricity_Grid!O33/SF!O33)*1000</f>
        <v>10893.501025452446</v>
      </c>
      <c r="P33" s="319">
        <f>(Electricity_Grid!P33/SF!P33)*1000</f>
        <v>10052.034739515335</v>
      </c>
      <c r="Q33" s="319">
        <f>(Electricity_Grid!Q33/SF!Q33)*1000</f>
        <v>10781.174371339654</v>
      </c>
      <c r="R33" s="319">
        <f>(Electricity_Grid!R33/SF!R33)*1000</f>
        <v>10061.804549504302</v>
      </c>
      <c r="S33" s="319">
        <f>(Electricity_Grid!S33/SF!S33)*1000</f>
        <v>7814.8891746280115</v>
      </c>
      <c r="T33" s="319">
        <f>(Electricity_Grid!T33/SF!T33)*1000</f>
        <v>10052.687524525712</v>
      </c>
      <c r="U33" s="413">
        <f>(Electricity_Grid!U33/SF!U33)*1000</f>
        <v>9167.235128471546</v>
      </c>
    </row>
    <row r="34" spans="2:21" ht="17" thickBot="1">
      <c r="B34" s="188" t="s">
        <v>61</v>
      </c>
      <c r="C34" s="82"/>
      <c r="D34" s="83">
        <v>268296.54488549998</v>
      </c>
      <c r="E34" s="83">
        <v>283521.54470099998</v>
      </c>
      <c r="F34" s="83">
        <v>287216.431285</v>
      </c>
      <c r="G34" s="83">
        <v>328141.10189200001</v>
      </c>
      <c r="H34" s="319">
        <f>(Electricity_Grid!H34/SF!H34)*1000</f>
        <v>10776.187569806174</v>
      </c>
      <c r="I34" s="319">
        <f>(Electricity_Grid!I34/SF!I34)*1000</f>
        <v>10154.52492265723</v>
      </c>
      <c r="J34" s="319">
        <f>(Electricity_Grid!J34/SF!J34)*1000</f>
        <v>9085.878643511609</v>
      </c>
      <c r="K34" s="319">
        <f>(Electricity_Grid!K34/SF!K34)*1000</f>
        <v>8845.5136251766762</v>
      </c>
      <c r="L34" s="319">
        <f>(Electricity_Grid!L34/SF!L34)*1000</f>
        <v>8369.3690510314027</v>
      </c>
      <c r="M34" s="319">
        <f>(Electricity_Grid!M34/SF!M34)*1000</f>
        <v>8383.6067923260161</v>
      </c>
      <c r="N34" s="319">
        <f>(Electricity_Grid!N34/SF!N34)*1000</f>
        <v>8131.1454142903749</v>
      </c>
      <c r="O34" s="319">
        <f>(Electricity_Grid!O34/SF!O34)*1000</f>
        <v>8895.4165142874081</v>
      </c>
      <c r="P34" s="319">
        <f>(Electricity_Grid!P34/SF!P34)*1000</f>
        <v>8570.493115752226</v>
      </c>
      <c r="Q34" s="319">
        <f>(Electricity_Grid!Q34/SF!Q34)*1000</f>
        <v>8916.2088699554224</v>
      </c>
      <c r="R34" s="319">
        <f>(Electricity_Grid!R34/SF!R34)*1000</f>
        <v>8273.1595880323803</v>
      </c>
      <c r="S34" s="319">
        <f>(Electricity_Grid!S34/SF!S34)*1000</f>
        <v>7381.1261403734206</v>
      </c>
      <c r="T34" s="319">
        <f>(Electricity_Grid!T34/SF!T34)*1000</f>
        <v>9152.2552953851318</v>
      </c>
      <c r="U34" s="413">
        <f>(Electricity_Grid!U34/SF!U34)*1000</f>
        <v>9426.5579749537937</v>
      </c>
    </row>
    <row r="35" spans="2:21" ht="17" thickBot="1">
      <c r="B35" s="188" t="s">
        <v>95</v>
      </c>
      <c r="C35" s="78">
        <v>55853.164644999997</v>
      </c>
      <c r="D35" s="78">
        <v>48245.640605000001</v>
      </c>
      <c r="E35" s="78">
        <v>47958.201624000001</v>
      </c>
      <c r="F35" s="78">
        <v>58915.712360899997</v>
      </c>
      <c r="G35" s="78">
        <v>65965.185425000003</v>
      </c>
      <c r="H35" s="319">
        <f>(Electricity_Grid!H35/SF!H35)*1000</f>
        <v>5619.3917525773186</v>
      </c>
      <c r="I35" s="319">
        <f>(Electricity_Grid!I35/SF!I35)*1000</f>
        <v>5718.9759450171823</v>
      </c>
      <c r="J35" s="319">
        <f>(Electricity_Grid!J35/SF!J35)*1000</f>
        <v>5460.3058419243989</v>
      </c>
      <c r="K35" s="319">
        <f>(Electricity_Grid!K35/SF!K35)*1000</f>
        <v>4960.5395189003439</v>
      </c>
      <c r="L35" s="319">
        <f>(Electricity_Grid!L35/SF!L35)*1000</f>
        <v>4167.0962199312717</v>
      </c>
      <c r="M35" s="319">
        <f>(Electricity_Grid!M35/SF!M35)*1000</f>
        <v>4932.1305841924404</v>
      </c>
      <c r="N35" s="319">
        <f>(Electricity_Grid!N35/SF!N35)*1000</f>
        <v>4424.8281786941579</v>
      </c>
      <c r="O35" s="319">
        <f>(Electricity_Grid!O35/SF!O35)*1000</f>
        <v>5819.3230240549829</v>
      </c>
      <c r="P35" s="319">
        <f>(Electricity_Grid!P35/SF!P35)*1000</f>
        <v>4922.0206185567004</v>
      </c>
      <c r="Q35" s="319">
        <f>(Electricity_Grid!Q35/SF!Q35)*1000</f>
        <v>4886.455326460482</v>
      </c>
      <c r="R35" s="319">
        <f>(Electricity_Grid!R35/SF!R35)*1000</f>
        <v>4610.9965635738827</v>
      </c>
      <c r="S35" s="319">
        <f>(Electricity_Grid!S35/SF!S35)*1000</f>
        <v>3833.4467353951891</v>
      </c>
      <c r="T35" s="319">
        <f>(Electricity_Grid!T35/SF!T35)*1000</f>
        <v>8306.1958762886607</v>
      </c>
      <c r="U35" s="413">
        <f>(Electricity_Grid!U35/SF!U35)*1000</f>
        <v>7029.8642611683845</v>
      </c>
    </row>
    <row r="36" spans="2:21" ht="17" thickBot="1">
      <c r="B36" s="188" t="s">
        <v>65</v>
      </c>
      <c r="C36" s="70" t="s">
        <v>98</v>
      </c>
      <c r="D36" s="70"/>
      <c r="E36" s="70"/>
      <c r="F36" s="70"/>
      <c r="G36" s="71"/>
      <c r="H36" s="319">
        <f>(Electricity_Grid!H36/SF!H36)*1000</f>
        <v>16281.455418799467</v>
      </c>
      <c r="I36" s="319">
        <f>(Electricity_Grid!I36/SF!I36)*1000</f>
        <v>17142.434386857403</v>
      </c>
      <c r="J36" s="319">
        <f>(Electricity_Grid!J36/SF!J36)*1000</f>
        <v>15461.384944450869</v>
      </c>
      <c r="K36" s="319">
        <f>(Electricity_Grid!K36/SF!K36)*1000</f>
        <v>16935.528058355496</v>
      </c>
      <c r="L36" s="319">
        <f>(Electricity_Grid!L36/SF!L36)*1000</f>
        <v>18283.11111928611</v>
      </c>
      <c r="M36" s="319">
        <f>(Electricity_Grid!M36/SF!M36)*1000</f>
        <v>17427.094260098169</v>
      </c>
      <c r="N36" s="319">
        <f>(Electricity_Grid!N36/SF!N36)*1000</f>
        <v>15835.838650003678</v>
      </c>
      <c r="O36" s="319">
        <f>(Electricity_Grid!O36/SF!O36)*1000</f>
        <v>15684.204759252058</v>
      </c>
      <c r="P36" s="319">
        <f>(Electricity_Grid!P36/SF!P36)*1000</f>
        <v>13922.433546000146</v>
      </c>
      <c r="Q36" s="319">
        <f>(Electricity_Grid!Q36/SF!Q36)*1000</f>
        <v>14883.555985327041</v>
      </c>
      <c r="R36" s="319">
        <f>(Electricity_Grid!R36/SF!R36)*1000</f>
        <v>13405.498943673074</v>
      </c>
      <c r="S36" s="319">
        <f>(Electricity_Grid!S36/SF!S36)*1000</f>
        <v>16623.339832459191</v>
      </c>
      <c r="T36" s="319">
        <f>(Electricity_Grid!T36/SF!T36)*1000</f>
        <v>28177.817660104476</v>
      </c>
      <c r="U36" s="413">
        <f>(Electricity_Grid!U36/SF!U36)*1000</f>
        <v>22579.448660409293</v>
      </c>
    </row>
    <row r="37" spans="2:21" ht="17" thickBot="1">
      <c r="B37" s="188" t="s">
        <v>5</v>
      </c>
      <c r="C37" s="78">
        <v>20859.633543</v>
      </c>
      <c r="D37" s="78">
        <v>17270.184745999999</v>
      </c>
      <c r="E37" s="78">
        <v>20010.838710399999</v>
      </c>
      <c r="F37" s="78">
        <v>18225.6523012</v>
      </c>
      <c r="G37" s="78">
        <v>19112.9597808</v>
      </c>
      <c r="H37" s="319">
        <f>(Electricity_Grid!H37/SF!H37)*1000</f>
        <v>22242.296137339057</v>
      </c>
      <c r="I37" s="319">
        <f>(Electricity_Grid!I37/SF!I37)*1000</f>
        <v>22358.69957081545</v>
      </c>
      <c r="J37" s="319">
        <f>(Electricity_Grid!J37/SF!J37)*1000</f>
        <v>21636.918454935621</v>
      </c>
      <c r="K37" s="319">
        <f>(Electricity_Grid!K37/SF!K37)*1000</f>
        <v>19463.920600858368</v>
      </c>
      <c r="L37" s="319">
        <f>(Electricity_Grid!L37/SF!L37)*1000</f>
        <v>16139.268240343348</v>
      </c>
      <c r="M37" s="319">
        <f>(Electricity_Grid!M37/SF!M37)*1000</f>
        <v>16019.118025751073</v>
      </c>
      <c r="N37" s="319">
        <f>(Electricity_Grid!N37/SF!N37)*1000</f>
        <v>15231.748927038627</v>
      </c>
      <c r="O37" s="319">
        <f>(Electricity_Grid!O37/SF!O37)*1000</f>
        <v>16046.394849785407</v>
      </c>
      <c r="P37" s="319">
        <f>(Electricity_Grid!P37/SF!P37)*1000</f>
        <v>15767.7339055794</v>
      </c>
      <c r="Q37" s="319">
        <f>(Electricity_Grid!Q37/SF!Q37)*1000</f>
        <v>16303.278969957084</v>
      </c>
      <c r="R37" s="319">
        <f>(Electricity_Grid!R37/SF!R37)*1000</f>
        <v>14673.875536480686</v>
      </c>
      <c r="S37" s="319">
        <f>(Electricity_Grid!S37/SF!S37)*1000</f>
        <v>13098.710300429184</v>
      </c>
      <c r="T37" s="319">
        <f>(Electricity_Grid!T37/SF!T37)*1000</f>
        <v>14074.620171673821</v>
      </c>
      <c r="U37" s="413">
        <f>(Electricity_Grid!U37/SF!U37)*1000</f>
        <v>14583.521459227468</v>
      </c>
    </row>
    <row r="38" spans="2:21" ht="17" thickBot="1">
      <c r="B38" s="317" t="s">
        <v>48</v>
      </c>
      <c r="C38" s="89">
        <v>18129.440607500001</v>
      </c>
      <c r="D38" s="89">
        <v>13016.550653599999</v>
      </c>
      <c r="E38" s="89">
        <v>14956.3264762</v>
      </c>
      <c r="F38" s="89">
        <v>16973.324908099999</v>
      </c>
      <c r="G38" s="89">
        <v>17819.888159999999</v>
      </c>
      <c r="H38" s="552">
        <f>(Electricity_Grid!H38/SF!H38)*1000</f>
        <v>15395.752705805184</v>
      </c>
      <c r="I38" s="552">
        <f>(Electricity_Grid!I38/SF!I38)*1000</f>
        <v>19757.406800043729</v>
      </c>
      <c r="J38" s="552">
        <f>(Electricity_Grid!J38/SF!J38)*1000</f>
        <v>14250.043730184758</v>
      </c>
      <c r="K38" s="552">
        <f>(Electricity_Grid!K38/SF!K38)*1000</f>
        <v>11571.996282934295</v>
      </c>
      <c r="L38" s="552">
        <f>(Electricity_Grid!L38/SF!L38)*1000</f>
        <v>16339.657811304252</v>
      </c>
      <c r="M38" s="552">
        <f>(Electricity_Grid!M38/SF!M38)*1000</f>
        <v>15380.824313982726</v>
      </c>
      <c r="N38" s="552">
        <f>(Electricity_Grid!N38/SF!N38)*1000</f>
        <v>11759.538646550782</v>
      </c>
      <c r="O38" s="552">
        <f>(Electricity_Grid!O38/SF!O38)*1000</f>
        <v>13361.211326117853</v>
      </c>
      <c r="P38" s="552">
        <f>(Electricity_Grid!P38/SF!P38)*1000</f>
        <v>12641.866185634633</v>
      </c>
      <c r="Q38" s="552">
        <f>(Electricity_Grid!Q38/SF!Q38)*1000</f>
        <v>9759.2926642615057</v>
      </c>
      <c r="R38" s="552">
        <f>(Electricity_Grid!R38/SF!R38)*1000</f>
        <v>8878.2824969935482</v>
      </c>
      <c r="S38" s="552">
        <f>(Electricity_Grid!S38/SF!S38)*1000</f>
        <v>8238.6465507816774</v>
      </c>
      <c r="T38" s="552">
        <f>(Electricity_Grid!T38/SF!T38)*1000</f>
        <v>10530.649393243686</v>
      </c>
      <c r="U38" s="553">
        <f>(Electricity_Grid!U38/SF!U38)*1000</f>
        <v>10101.246310265662</v>
      </c>
    </row>
  </sheetData>
  <mergeCells count="2">
    <mergeCell ref="B2:I2"/>
    <mergeCell ref="H26:J26"/>
  </mergeCells>
  <conditionalFormatting sqref="H4:U6 H36:U38 H27:T35 H7:T25 U7:U38">
    <cfRule type="colorScale" priority="1">
      <colorScale>
        <cfvo type="min"/>
        <cfvo type="percentile" val="50"/>
        <cfvo type="max"/>
        <color rgb="FF63BE7B"/>
        <color rgb="FFFFEB84"/>
        <color rgb="FFF8696B"/>
      </colorScale>
    </cfRule>
  </conditionalFormatting>
  <pageMargins left="0.7" right="0.7" top="0.75" bottom="0.75" header="0.3" footer="0.3"/>
  <pageSetup scale="48" orientation="landscape"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3901A-56AA-48B8-A9B3-D0C1A241E39B}">
  <sheetPr>
    <pageSetUpPr fitToPage="1"/>
  </sheetPr>
  <dimension ref="A1:G32"/>
  <sheetViews>
    <sheetView workbookViewId="0">
      <selection activeCell="K27" sqref="K27"/>
    </sheetView>
  </sheetViews>
  <sheetFormatPr baseColWidth="10" defaultColWidth="8.6640625" defaultRowHeight="15"/>
  <cols>
    <col min="2" max="2" width="32.33203125" customWidth="1"/>
    <col min="3" max="3" width="28" customWidth="1"/>
    <col min="4" max="7" width="15.33203125" customWidth="1"/>
    <col min="8" max="8" width="13.1640625" customWidth="1"/>
  </cols>
  <sheetData>
    <row r="1" spans="1:7" ht="16" thickBot="1">
      <c r="A1" s="26"/>
      <c r="B1" s="26"/>
    </row>
    <row r="2" spans="1:7" ht="22" customHeight="1" thickBot="1">
      <c r="A2" s="26"/>
      <c r="B2" s="691" t="s">
        <v>165</v>
      </c>
      <c r="C2" s="692"/>
      <c r="D2" s="693" t="s">
        <v>278</v>
      </c>
      <c r="E2" s="694"/>
      <c r="F2" s="694"/>
      <c r="G2" s="695"/>
    </row>
    <row r="3" spans="1:7" ht="21" thickBot="1">
      <c r="A3" s="26"/>
      <c r="B3" s="305" t="s">
        <v>2</v>
      </c>
      <c r="C3" s="306" t="s">
        <v>158</v>
      </c>
      <c r="D3" s="539">
        <v>2020</v>
      </c>
      <c r="E3" s="539">
        <v>2021</v>
      </c>
      <c r="F3" s="540">
        <v>2022</v>
      </c>
      <c r="G3" s="541">
        <v>2023</v>
      </c>
    </row>
    <row r="4" spans="1:7" ht="17">
      <c r="A4" s="26"/>
      <c r="B4" s="464" t="s">
        <v>1</v>
      </c>
      <c r="C4" s="465">
        <v>150</v>
      </c>
      <c r="D4" s="466"/>
      <c r="E4" s="466"/>
      <c r="F4" s="564"/>
      <c r="G4" s="556"/>
    </row>
    <row r="5" spans="1:7" ht="17">
      <c r="A5" s="26"/>
      <c r="B5" s="467" t="s">
        <v>13</v>
      </c>
      <c r="C5" s="468">
        <v>150</v>
      </c>
      <c r="D5" s="469"/>
      <c r="E5" s="469"/>
      <c r="F5" s="469"/>
      <c r="G5" s="557"/>
    </row>
    <row r="6" spans="1:7" ht="17">
      <c r="A6" s="26"/>
      <c r="B6" s="470" t="s">
        <v>25</v>
      </c>
      <c r="C6" s="471">
        <v>148.6</v>
      </c>
      <c r="D6" s="469"/>
      <c r="E6" s="469"/>
      <c r="F6" s="474">
        <v>66307</v>
      </c>
      <c r="G6" s="568">
        <v>84209</v>
      </c>
    </row>
    <row r="7" spans="1:7" ht="17">
      <c r="A7" s="26"/>
      <c r="B7" s="470" t="s">
        <v>67</v>
      </c>
      <c r="C7" s="471">
        <v>164.9</v>
      </c>
      <c r="D7" s="472">
        <v>12569</v>
      </c>
      <c r="E7" s="472">
        <v>12569</v>
      </c>
      <c r="F7" s="565">
        <v>196925.5</v>
      </c>
      <c r="G7" s="473">
        <v>73576</v>
      </c>
    </row>
    <row r="8" spans="1:7" ht="17">
      <c r="A8" s="26"/>
      <c r="B8" s="470" t="s">
        <v>39</v>
      </c>
      <c r="C8" s="471">
        <v>117.5</v>
      </c>
      <c r="D8" s="469"/>
      <c r="E8" s="474">
        <v>80750</v>
      </c>
      <c r="F8" s="474">
        <v>115425</v>
      </c>
      <c r="G8" s="558">
        <v>56515</v>
      </c>
    </row>
    <row r="9" spans="1:7" ht="17">
      <c r="A9" s="26"/>
      <c r="B9" s="470" t="s">
        <v>51</v>
      </c>
      <c r="C9" s="471">
        <v>193.8</v>
      </c>
      <c r="D9" s="469"/>
      <c r="E9" s="469"/>
      <c r="F9" s="474">
        <v>94654</v>
      </c>
      <c r="G9" s="558">
        <v>114449</v>
      </c>
    </row>
    <row r="10" spans="1:7" ht="17">
      <c r="A10" s="26"/>
      <c r="B10" s="475" t="s">
        <v>53</v>
      </c>
      <c r="C10" s="471">
        <v>199.2</v>
      </c>
      <c r="D10" s="469"/>
      <c r="E10" s="469"/>
      <c r="F10" s="469"/>
      <c r="G10" s="557"/>
    </row>
    <row r="11" spans="1:7" ht="17">
      <c r="A11" s="26"/>
      <c r="B11" s="475" t="s">
        <v>57</v>
      </c>
      <c r="C11" s="471">
        <v>199.2</v>
      </c>
      <c r="D11" s="469"/>
      <c r="E11" s="469"/>
      <c r="F11" s="469"/>
      <c r="G11" s="557"/>
    </row>
    <row r="12" spans="1:7" ht="17">
      <c r="A12" s="26"/>
      <c r="B12" s="470" t="s">
        <v>59</v>
      </c>
      <c r="C12" s="471">
        <v>167.2</v>
      </c>
      <c r="D12" s="469"/>
      <c r="E12" s="469"/>
      <c r="F12" s="474">
        <v>136798</v>
      </c>
      <c r="G12" s="558">
        <v>102302</v>
      </c>
    </row>
    <row r="13" spans="1:7" ht="18" thickBot="1">
      <c r="A13" s="26"/>
      <c r="B13" s="476" t="s">
        <v>61</v>
      </c>
      <c r="C13" s="477">
        <v>150</v>
      </c>
      <c r="D13" s="478"/>
      <c r="E13" s="478"/>
      <c r="F13" s="478"/>
      <c r="G13" s="559"/>
    </row>
    <row r="14" spans="1:7" ht="17">
      <c r="A14" s="26"/>
      <c r="B14" s="479" t="s">
        <v>164</v>
      </c>
      <c r="C14" s="480">
        <f>SUM(C4:C13)</f>
        <v>1640.4</v>
      </c>
      <c r="D14" s="481"/>
      <c r="E14" s="481"/>
      <c r="F14" s="481"/>
      <c r="G14" s="560"/>
    </row>
    <row r="15" spans="1:7" ht="17">
      <c r="A15" s="26"/>
      <c r="B15" s="482" t="s">
        <v>279</v>
      </c>
      <c r="C15" s="483"/>
      <c r="D15" s="484">
        <f>SUM(D4:D13)</f>
        <v>12569</v>
      </c>
      <c r="E15" s="484">
        <f>SUM(E4:E13)</f>
        <v>93319</v>
      </c>
      <c r="F15" s="484">
        <f>SUM(F4:F13)</f>
        <v>610109.5</v>
      </c>
      <c r="G15" s="569">
        <f>SUM(G3:G13)</f>
        <v>433074</v>
      </c>
    </row>
    <row r="16" spans="1:7" ht="17" thickBot="1">
      <c r="A16" s="26"/>
      <c r="B16" s="485" t="s">
        <v>144</v>
      </c>
      <c r="C16" s="486"/>
      <c r="D16" s="487">
        <f>D15*0.127</f>
        <v>1596.2629999999999</v>
      </c>
      <c r="E16" s="487">
        <f>E15*0.127</f>
        <v>11851.513000000001</v>
      </c>
      <c r="F16" s="487">
        <f>F15*0.127</f>
        <v>77483.906499999997</v>
      </c>
      <c r="G16" s="570">
        <f>G15*0.127</f>
        <v>55000.398000000001</v>
      </c>
    </row>
    <row r="17" spans="1:7" ht="17">
      <c r="A17" s="26"/>
      <c r="B17" s="488" t="s">
        <v>145</v>
      </c>
      <c r="C17" s="489"/>
      <c r="D17" s="489"/>
      <c r="E17" s="489"/>
      <c r="F17" s="489"/>
      <c r="G17" s="561"/>
    </row>
    <row r="18" spans="1:7" ht="17">
      <c r="A18" s="26"/>
      <c r="B18" s="467" t="s">
        <v>146</v>
      </c>
      <c r="C18" s="490"/>
      <c r="D18" s="490"/>
      <c r="E18" s="490"/>
      <c r="F18" s="490"/>
      <c r="G18" s="562"/>
    </row>
    <row r="19" spans="1:7" ht="17">
      <c r="A19" s="26"/>
      <c r="B19" s="475" t="s">
        <v>147</v>
      </c>
      <c r="C19" s="490"/>
      <c r="D19" s="490"/>
      <c r="E19" s="490"/>
      <c r="F19" s="490"/>
      <c r="G19" s="562"/>
    </row>
    <row r="20" spans="1:7" ht="18" thickBot="1">
      <c r="A20" s="26"/>
      <c r="B20" s="491" t="s">
        <v>140</v>
      </c>
      <c r="C20" s="486"/>
      <c r="D20" s="486"/>
      <c r="E20" s="486"/>
      <c r="F20" s="486"/>
      <c r="G20" s="563"/>
    </row>
    <row r="21" spans="1:7">
      <c r="A21" s="26"/>
      <c r="B21" s="26"/>
    </row>
    <row r="22" spans="1:7">
      <c r="A22" s="26"/>
      <c r="B22" s="26"/>
    </row>
    <row r="23" spans="1:7">
      <c r="A23" s="26"/>
      <c r="B23" s="26"/>
    </row>
    <row r="24" spans="1:7">
      <c r="A24" s="26"/>
      <c r="B24" s="26"/>
    </row>
    <row r="25" spans="1:7">
      <c r="A25" s="26"/>
      <c r="B25" s="26"/>
    </row>
    <row r="26" spans="1:7">
      <c r="A26" s="26"/>
      <c r="B26" s="26"/>
    </row>
    <row r="27" spans="1:7">
      <c r="A27" s="26"/>
      <c r="B27" s="26"/>
    </row>
    <row r="28" spans="1:7">
      <c r="A28" s="26"/>
      <c r="B28" s="26"/>
    </row>
    <row r="29" spans="1:7">
      <c r="A29" s="26"/>
      <c r="B29" s="26"/>
    </row>
    <row r="30" spans="1:7">
      <c r="A30" s="26"/>
      <c r="B30" s="26"/>
    </row>
    <row r="31" spans="1:7">
      <c r="A31" s="26"/>
      <c r="B31" s="26"/>
    </row>
    <row r="32" spans="1:7">
      <c r="A32" s="26"/>
      <c r="B32" s="26"/>
    </row>
  </sheetData>
  <mergeCells count="2">
    <mergeCell ref="B2:C2"/>
    <mergeCell ref="D2:G2"/>
  </mergeCells>
  <pageMargins left="0.7" right="0.7" top="0.75" bottom="0.75" header="0.3" footer="0.3"/>
  <pageSetup scale="80" orientation="landscape" horizontalDpi="0" verticalDpi="0" r:id="rId1"/>
  <ignoredErrors>
    <ignoredError sqref="D15:F15"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2CA2C-5891-48F2-B842-0D97E2CA088C}">
  <sheetPr>
    <pageSetUpPr fitToPage="1"/>
  </sheetPr>
  <dimension ref="B1:W55"/>
  <sheetViews>
    <sheetView topLeftCell="B1" zoomScale="90" zoomScaleNormal="90" workbookViewId="0">
      <selection activeCell="U11" sqref="U11"/>
    </sheetView>
  </sheetViews>
  <sheetFormatPr baseColWidth="10" defaultColWidth="8.6640625" defaultRowHeight="15"/>
  <cols>
    <col min="2" max="2" width="30.6640625" customWidth="1"/>
    <col min="3" max="7" width="0" hidden="1" customWidth="1"/>
    <col min="8" max="21" width="12.1640625" customWidth="1"/>
    <col min="22" max="22" width="24.33203125" customWidth="1"/>
  </cols>
  <sheetData>
    <row r="1" spans="2:23" ht="10.25" customHeight="1" thickBot="1"/>
    <row r="2" spans="2:23" ht="49.25" customHeight="1" thickBot="1">
      <c r="B2" s="696" t="s">
        <v>168</v>
      </c>
      <c r="C2" s="697"/>
      <c r="D2" s="697"/>
      <c r="E2" s="697"/>
      <c r="F2" s="697"/>
      <c r="G2" s="697"/>
      <c r="H2" s="697"/>
      <c r="I2" s="697"/>
      <c r="J2" s="698"/>
      <c r="K2" s="294"/>
      <c r="L2" s="295"/>
      <c r="M2" s="295"/>
      <c r="N2" s="295"/>
      <c r="O2" s="295"/>
      <c r="P2" s="295"/>
      <c r="Q2" s="295"/>
      <c r="R2" s="295"/>
      <c r="S2" s="296" t="s">
        <v>264</v>
      </c>
      <c r="T2" s="527"/>
      <c r="U2" s="518"/>
      <c r="V2" s="185"/>
      <c r="W2" s="185"/>
    </row>
    <row r="3" spans="2:23" ht="19.25" customHeight="1" thickBot="1">
      <c r="B3" s="301" t="s">
        <v>90</v>
      </c>
      <c r="C3" s="302">
        <v>2005</v>
      </c>
      <c r="D3" s="302">
        <v>2006</v>
      </c>
      <c r="E3" s="302">
        <v>2007</v>
      </c>
      <c r="F3" s="302">
        <v>2008</v>
      </c>
      <c r="G3" s="302">
        <v>2009</v>
      </c>
      <c r="H3" s="303">
        <v>2010</v>
      </c>
      <c r="I3" s="303">
        <v>2011</v>
      </c>
      <c r="J3" s="303">
        <v>2012</v>
      </c>
      <c r="K3" s="303">
        <v>2013</v>
      </c>
      <c r="L3" s="303">
        <v>2014</v>
      </c>
      <c r="M3" s="303">
        <v>2015</v>
      </c>
      <c r="N3" s="303">
        <v>2016</v>
      </c>
      <c r="O3" s="303">
        <v>2017</v>
      </c>
      <c r="P3" s="303">
        <v>2018</v>
      </c>
      <c r="Q3" s="303">
        <v>2019</v>
      </c>
      <c r="R3" s="303">
        <v>2020</v>
      </c>
      <c r="S3" s="303">
        <v>2021</v>
      </c>
      <c r="T3" s="303">
        <v>2022</v>
      </c>
      <c r="U3" s="519">
        <v>2023</v>
      </c>
      <c r="V3" s="183"/>
      <c r="W3" s="185"/>
    </row>
    <row r="4" spans="2:23" ht="14" customHeight="1">
      <c r="B4" s="297" t="s">
        <v>1</v>
      </c>
      <c r="C4" s="701" t="s">
        <v>99</v>
      </c>
      <c r="D4" s="701"/>
      <c r="E4" s="298"/>
      <c r="F4" s="298"/>
      <c r="G4" s="298"/>
      <c r="H4" s="299">
        <v>200</v>
      </c>
      <c r="I4" s="300">
        <v>294</v>
      </c>
      <c r="J4" s="300">
        <v>326</v>
      </c>
      <c r="K4" s="300">
        <v>433.5</v>
      </c>
      <c r="L4" s="300">
        <v>563.20000000000005</v>
      </c>
      <c r="M4" s="300">
        <v>431.3</v>
      </c>
      <c r="N4" s="300">
        <v>415.2</v>
      </c>
      <c r="O4" s="300">
        <v>437.6</v>
      </c>
      <c r="P4" s="300">
        <v>401.7</v>
      </c>
      <c r="Q4" s="300">
        <v>380.8</v>
      </c>
      <c r="R4" s="300">
        <v>305.2</v>
      </c>
      <c r="S4" s="300">
        <v>380.6</v>
      </c>
      <c r="T4" s="300">
        <v>256.89999999999998</v>
      </c>
      <c r="U4" s="520">
        <v>873.6</v>
      </c>
      <c r="V4" s="184"/>
      <c r="W4" s="185"/>
    </row>
    <row r="5" spans="2:23" ht="13" customHeight="1">
      <c r="B5" s="566" t="s">
        <v>265</v>
      </c>
      <c r="C5" s="177">
        <v>284.10000000000002</v>
      </c>
      <c r="D5" s="177">
        <v>446.8</v>
      </c>
      <c r="E5" s="177">
        <v>425.8</v>
      </c>
      <c r="F5" s="177">
        <v>384.3</v>
      </c>
      <c r="G5" s="177">
        <v>232.2</v>
      </c>
      <c r="H5" s="177">
        <v>213.3</v>
      </c>
      <c r="I5" s="177">
        <v>241.7</v>
      </c>
      <c r="J5" s="177">
        <v>215.4</v>
      </c>
      <c r="K5" s="177">
        <v>209</v>
      </c>
      <c r="L5" s="177">
        <v>201.4</v>
      </c>
      <c r="M5" s="177">
        <v>200.3</v>
      </c>
      <c r="N5" s="177">
        <v>211</v>
      </c>
      <c r="O5" s="177">
        <v>208.7</v>
      </c>
      <c r="P5" s="177">
        <v>228.2</v>
      </c>
      <c r="Q5" s="177">
        <v>238.6</v>
      </c>
      <c r="R5" s="177">
        <v>166.1</v>
      </c>
      <c r="S5" s="177">
        <v>319.60000000000002</v>
      </c>
      <c r="T5" s="177">
        <v>976.6</v>
      </c>
      <c r="U5" s="522">
        <v>1152</v>
      </c>
      <c r="V5" s="567"/>
      <c r="W5" s="58"/>
    </row>
    <row r="6" spans="2:23" ht="14" customHeight="1">
      <c r="B6" s="188" t="s">
        <v>7</v>
      </c>
      <c r="C6" s="177">
        <v>778.3</v>
      </c>
      <c r="D6" s="177">
        <v>852.8</v>
      </c>
      <c r="E6" s="177">
        <v>347.7</v>
      </c>
      <c r="F6" s="177">
        <v>419.2</v>
      </c>
      <c r="G6" s="177">
        <v>414.3</v>
      </c>
      <c r="H6" s="177">
        <v>373.1</v>
      </c>
      <c r="I6" s="177">
        <v>421.7</v>
      </c>
      <c r="J6" s="177">
        <v>377.2</v>
      </c>
      <c r="K6" s="177">
        <v>386.3</v>
      </c>
      <c r="L6" s="177">
        <v>316.60000000000002</v>
      </c>
      <c r="M6" s="177">
        <v>202.2</v>
      </c>
      <c r="N6" s="177">
        <v>382.9</v>
      </c>
      <c r="O6" s="177">
        <v>253.9</v>
      </c>
      <c r="P6" s="177">
        <v>586.1</v>
      </c>
      <c r="Q6" s="177">
        <v>610.70000000000005</v>
      </c>
      <c r="R6" s="177">
        <v>470.1</v>
      </c>
      <c r="S6" s="177">
        <v>335.3</v>
      </c>
      <c r="T6" s="177">
        <v>451</v>
      </c>
      <c r="U6" s="522">
        <v>512.79999999999995</v>
      </c>
      <c r="V6" s="184"/>
      <c r="W6" s="185"/>
    </row>
    <row r="7" spans="2:23" ht="14" customHeight="1">
      <c r="B7" s="566" t="s">
        <v>9</v>
      </c>
      <c r="C7" s="177">
        <v>535</v>
      </c>
      <c r="D7" s="177">
        <v>416.9</v>
      </c>
      <c r="E7" s="177">
        <v>480.1</v>
      </c>
      <c r="F7" s="177">
        <v>873.6</v>
      </c>
      <c r="G7" s="177">
        <v>934.4</v>
      </c>
      <c r="H7" s="177">
        <v>180.8</v>
      </c>
      <c r="I7" s="177">
        <v>344.4</v>
      </c>
      <c r="J7" s="177">
        <v>211.7</v>
      </c>
      <c r="K7" s="177">
        <v>228.4</v>
      </c>
      <c r="L7" s="177">
        <v>169.4</v>
      </c>
      <c r="M7" s="177">
        <v>212.4</v>
      </c>
      <c r="N7" s="177">
        <v>191.5</v>
      </c>
      <c r="O7" s="177">
        <v>209.5</v>
      </c>
      <c r="P7" s="177">
        <v>178</v>
      </c>
      <c r="Q7" s="177">
        <v>134.6</v>
      </c>
      <c r="R7" s="177">
        <v>9.1</v>
      </c>
      <c r="S7" s="177">
        <v>1.3</v>
      </c>
      <c r="T7" s="177">
        <v>2.2999999999999998</v>
      </c>
      <c r="U7" s="522">
        <v>34.5</v>
      </c>
      <c r="V7" s="567"/>
      <c r="W7" s="58"/>
    </row>
    <row r="8" spans="2:23" ht="14" customHeight="1">
      <c r="B8" s="188" t="s">
        <v>11</v>
      </c>
      <c r="C8" s="177">
        <v>1123.4000000000001</v>
      </c>
      <c r="D8" s="177">
        <v>1097.2</v>
      </c>
      <c r="E8" s="177">
        <v>621.1</v>
      </c>
      <c r="F8" s="177">
        <v>726.9</v>
      </c>
      <c r="G8" s="177">
        <v>568.29999999999995</v>
      </c>
      <c r="H8" s="177">
        <v>345</v>
      </c>
      <c r="I8" s="177">
        <v>287.5</v>
      </c>
      <c r="J8" s="177">
        <v>309.7</v>
      </c>
      <c r="K8" s="177">
        <v>321.2</v>
      </c>
      <c r="L8" s="177">
        <v>253.7</v>
      </c>
      <c r="M8" s="177">
        <v>264.7</v>
      </c>
      <c r="N8" s="177">
        <v>257.8</v>
      </c>
      <c r="O8" s="177">
        <v>396.7</v>
      </c>
      <c r="P8" s="177">
        <v>319.60000000000002</v>
      </c>
      <c r="Q8" s="177">
        <v>384.1</v>
      </c>
      <c r="R8" s="177">
        <v>362.1</v>
      </c>
      <c r="S8" s="177">
        <v>255.2</v>
      </c>
      <c r="T8" s="177">
        <v>316.3</v>
      </c>
      <c r="U8" s="522">
        <v>444.7</v>
      </c>
      <c r="V8" s="184"/>
      <c r="W8" s="185"/>
    </row>
    <row r="9" spans="2:23" ht="14" customHeight="1">
      <c r="B9" s="188" t="s">
        <v>13</v>
      </c>
      <c r="C9" s="177">
        <v>307.7</v>
      </c>
      <c r="D9" s="177">
        <v>549.79999999999995</v>
      </c>
      <c r="E9" s="177">
        <v>446.7</v>
      </c>
      <c r="F9" s="177">
        <v>399.4</v>
      </c>
      <c r="G9" s="177">
        <v>227.4</v>
      </c>
      <c r="H9" s="177">
        <v>196</v>
      </c>
      <c r="I9" s="177">
        <v>153.69999999999999</v>
      </c>
      <c r="J9" s="177">
        <v>240.1</v>
      </c>
      <c r="K9" s="177">
        <v>218.4</v>
      </c>
      <c r="L9" s="177">
        <v>275.39999999999998</v>
      </c>
      <c r="M9" s="177">
        <v>323</v>
      </c>
      <c r="N9" s="177">
        <v>294.7</v>
      </c>
      <c r="O9" s="177">
        <v>291.60000000000002</v>
      </c>
      <c r="P9" s="177">
        <v>247.7</v>
      </c>
      <c r="Q9" s="177">
        <v>252.5</v>
      </c>
      <c r="R9" s="177">
        <v>289.5</v>
      </c>
      <c r="S9" s="177">
        <v>130.19999999999999</v>
      </c>
      <c r="T9" s="177">
        <v>258.10000000000002</v>
      </c>
      <c r="U9" s="522">
        <v>263.5</v>
      </c>
      <c r="V9" s="184"/>
      <c r="W9" s="185"/>
    </row>
    <row r="10" spans="2:23" ht="14" customHeight="1">
      <c r="B10" s="188" t="s">
        <v>15</v>
      </c>
      <c r="C10" s="186">
        <v>296.60000000000002</v>
      </c>
      <c r="D10" s="186">
        <v>410.2</v>
      </c>
      <c r="E10" s="186">
        <v>928.4</v>
      </c>
      <c r="F10" s="186">
        <v>474.8</v>
      </c>
      <c r="G10" s="186">
        <v>434.2</v>
      </c>
      <c r="H10" s="186">
        <v>340.3</v>
      </c>
      <c r="I10" s="186">
        <v>366.7</v>
      </c>
      <c r="J10" s="186">
        <v>392.5</v>
      </c>
      <c r="K10" s="186">
        <v>468.9</v>
      </c>
      <c r="L10" s="186">
        <v>334.6</v>
      </c>
      <c r="M10" s="186">
        <v>460.1</v>
      </c>
      <c r="N10" s="186">
        <v>481.7</v>
      </c>
      <c r="O10" s="186">
        <v>425.6</v>
      </c>
      <c r="P10" s="186">
        <v>553.6</v>
      </c>
      <c r="Q10" s="186">
        <v>427.9</v>
      </c>
      <c r="R10" s="186">
        <v>317.2</v>
      </c>
      <c r="S10" s="186">
        <v>216.2</v>
      </c>
      <c r="T10" s="186">
        <v>553.6</v>
      </c>
      <c r="U10" s="521">
        <v>200.6</v>
      </c>
      <c r="V10" s="184"/>
      <c r="W10" s="185"/>
    </row>
    <row r="11" spans="2:23" ht="14" customHeight="1">
      <c r="B11" s="188" t="s">
        <v>17</v>
      </c>
      <c r="C11" s="177">
        <v>228.9</v>
      </c>
      <c r="D11" s="177">
        <v>98.7</v>
      </c>
      <c r="E11" s="177">
        <v>182.5</v>
      </c>
      <c r="F11" s="177">
        <v>158.6</v>
      </c>
      <c r="G11" s="177">
        <v>304.5</v>
      </c>
      <c r="H11" s="177">
        <v>133.9</v>
      </c>
      <c r="I11" s="177">
        <v>246.9</v>
      </c>
      <c r="J11" s="177">
        <v>192.2</v>
      </c>
      <c r="K11" s="177">
        <v>320.2</v>
      </c>
      <c r="L11" s="177">
        <v>236.4</v>
      </c>
      <c r="M11" s="177">
        <v>139.9</v>
      </c>
      <c r="N11" s="177">
        <v>70.3</v>
      </c>
      <c r="O11" s="177">
        <v>80</v>
      </c>
      <c r="P11" s="177">
        <v>78.5</v>
      </c>
      <c r="Q11" s="177">
        <v>82.3</v>
      </c>
      <c r="R11" s="177">
        <v>44.9</v>
      </c>
      <c r="S11" s="177">
        <v>89</v>
      </c>
      <c r="T11" s="177">
        <v>242.4</v>
      </c>
      <c r="U11" s="522">
        <f>AVERAGE(S11:T11)</f>
        <v>165.7</v>
      </c>
      <c r="V11" s="184"/>
      <c r="W11" s="185"/>
    </row>
    <row r="12" spans="2:23" ht="14" customHeight="1">
      <c r="B12" s="188" t="s">
        <v>19</v>
      </c>
      <c r="C12" s="177">
        <v>469.1</v>
      </c>
      <c r="D12" s="177">
        <v>441.1</v>
      </c>
      <c r="E12" s="177">
        <v>447.7</v>
      </c>
      <c r="F12" s="177">
        <v>383.3</v>
      </c>
      <c r="G12" s="177">
        <v>303.10000000000002</v>
      </c>
      <c r="H12" s="177">
        <v>376.8</v>
      </c>
      <c r="I12" s="177">
        <v>291.2</v>
      </c>
      <c r="J12" s="177">
        <v>410.2</v>
      </c>
      <c r="K12" s="177">
        <v>519.1</v>
      </c>
      <c r="L12" s="177">
        <v>527.1</v>
      </c>
      <c r="M12" s="177">
        <v>423</v>
      </c>
      <c r="N12" s="177">
        <v>415.4</v>
      </c>
      <c r="O12" s="177">
        <v>330.5</v>
      </c>
      <c r="P12" s="177">
        <v>295.7</v>
      </c>
      <c r="Q12" s="177">
        <v>301.89999999999998</v>
      </c>
      <c r="R12" s="177">
        <v>211.5</v>
      </c>
      <c r="S12" s="177">
        <v>212.9</v>
      </c>
      <c r="T12" s="177">
        <v>526.6</v>
      </c>
      <c r="U12" s="522">
        <v>364.6</v>
      </c>
      <c r="V12" s="184"/>
      <c r="W12" s="185"/>
    </row>
    <row r="13" spans="2:23" ht="14" customHeight="1">
      <c r="B13" s="188" t="s">
        <v>21</v>
      </c>
      <c r="C13" s="177"/>
      <c r="D13" s="276"/>
      <c r="E13" s="276"/>
      <c r="F13" s="276"/>
      <c r="G13" s="276"/>
      <c r="H13" s="699" t="s">
        <v>150</v>
      </c>
      <c r="I13" s="699"/>
      <c r="J13" s="276"/>
      <c r="K13" s="276"/>
      <c r="L13" s="276"/>
      <c r="M13" s="276"/>
      <c r="N13" s="276"/>
      <c r="O13" s="276"/>
      <c r="P13" s="276"/>
      <c r="Q13" s="276"/>
      <c r="R13" s="276"/>
      <c r="S13" s="276"/>
      <c r="T13" s="276"/>
      <c r="U13" s="523"/>
      <c r="V13" s="184"/>
      <c r="W13" s="185"/>
    </row>
    <row r="14" spans="2:23" ht="14" customHeight="1">
      <c r="B14" s="188" t="s">
        <v>23</v>
      </c>
      <c r="C14" s="186">
        <v>511.6</v>
      </c>
      <c r="D14" s="186">
        <v>544.6</v>
      </c>
      <c r="E14" s="186">
        <v>315</v>
      </c>
      <c r="F14" s="186">
        <v>255.8</v>
      </c>
      <c r="G14" s="186">
        <v>295</v>
      </c>
      <c r="H14" s="186">
        <v>303.89999999999998</v>
      </c>
      <c r="I14" s="186">
        <v>264.2</v>
      </c>
      <c r="J14" s="186">
        <v>436.3</v>
      </c>
      <c r="K14" s="186">
        <v>418.1</v>
      </c>
      <c r="L14" s="186">
        <v>360.6</v>
      </c>
      <c r="M14" s="186">
        <v>597.1</v>
      </c>
      <c r="N14" s="186">
        <v>375.3</v>
      </c>
      <c r="O14" s="186">
        <v>450.9</v>
      </c>
      <c r="P14" s="186">
        <v>555.6</v>
      </c>
      <c r="Q14" s="186">
        <v>384.3</v>
      </c>
      <c r="R14" s="186">
        <v>443</v>
      </c>
      <c r="S14" s="186">
        <v>338.8</v>
      </c>
      <c r="T14" s="186">
        <v>528.20000000000005</v>
      </c>
      <c r="U14" s="521">
        <v>559.70000000000005</v>
      </c>
      <c r="V14" s="184"/>
      <c r="W14" s="185"/>
    </row>
    <row r="15" spans="2:23" ht="14" customHeight="1">
      <c r="B15" s="188" t="s">
        <v>25</v>
      </c>
      <c r="C15" s="186">
        <v>330.7</v>
      </c>
      <c r="D15" s="186">
        <v>460.5</v>
      </c>
      <c r="E15" s="186">
        <v>458.2</v>
      </c>
      <c r="F15" s="186">
        <v>381</v>
      </c>
      <c r="G15" s="186">
        <v>457.8</v>
      </c>
      <c r="H15" s="186">
        <v>388</v>
      </c>
      <c r="I15" s="186">
        <v>278.60000000000002</v>
      </c>
      <c r="J15" s="186">
        <v>413.6</v>
      </c>
      <c r="K15" s="186">
        <v>443.5</v>
      </c>
      <c r="L15" s="186">
        <v>455.5</v>
      </c>
      <c r="M15" s="186">
        <v>489.3</v>
      </c>
      <c r="N15" s="186">
        <v>476.4</v>
      </c>
      <c r="O15" s="186">
        <v>443</v>
      </c>
      <c r="P15" s="186">
        <v>389.9</v>
      </c>
      <c r="Q15" s="186">
        <v>459.1</v>
      </c>
      <c r="R15" s="186">
        <v>415.6</v>
      </c>
      <c r="S15" s="186">
        <v>243.5</v>
      </c>
      <c r="T15" s="186">
        <v>364.7</v>
      </c>
      <c r="U15" s="521">
        <v>562.79999999999995</v>
      </c>
      <c r="V15" s="184"/>
      <c r="W15" s="185"/>
    </row>
    <row r="16" spans="2:23" ht="14" customHeight="1">
      <c r="B16" s="188" t="s">
        <v>27</v>
      </c>
      <c r="C16" s="186">
        <v>236.3</v>
      </c>
      <c r="D16" s="186">
        <v>484</v>
      </c>
      <c r="E16" s="186">
        <v>479.3</v>
      </c>
      <c r="F16" s="186">
        <v>487.3</v>
      </c>
      <c r="G16" s="186">
        <v>413.2</v>
      </c>
      <c r="H16" s="186">
        <v>272.10000000000002</v>
      </c>
      <c r="I16" s="186">
        <v>255.9</v>
      </c>
      <c r="J16" s="186">
        <v>276.5</v>
      </c>
      <c r="K16" s="186">
        <v>311.8</v>
      </c>
      <c r="L16" s="186">
        <v>315.7</v>
      </c>
      <c r="M16" s="186">
        <v>327.8</v>
      </c>
      <c r="N16" s="186">
        <v>353.7</v>
      </c>
      <c r="O16" s="186">
        <v>370.3</v>
      </c>
      <c r="P16" s="186">
        <v>427.9</v>
      </c>
      <c r="Q16" s="186">
        <v>509.3</v>
      </c>
      <c r="R16" s="186">
        <v>391.6</v>
      </c>
      <c r="S16" s="186">
        <v>161.4</v>
      </c>
      <c r="T16" s="186">
        <v>502.7</v>
      </c>
      <c r="U16" s="521">
        <v>591.9</v>
      </c>
      <c r="V16" s="184"/>
      <c r="W16" s="185"/>
    </row>
    <row r="17" spans="2:23" ht="14" customHeight="1">
      <c r="B17" s="188" t="s">
        <v>29</v>
      </c>
      <c r="C17" s="177">
        <v>8.8000000000000007</v>
      </c>
      <c r="D17" s="177">
        <v>286.7</v>
      </c>
      <c r="E17" s="177">
        <v>11.1</v>
      </c>
      <c r="F17" s="177">
        <v>354.4</v>
      </c>
      <c r="G17" s="177">
        <v>284.89999999999998</v>
      </c>
      <c r="H17" s="177">
        <v>259.3</v>
      </c>
      <c r="I17" s="177">
        <v>183.4</v>
      </c>
      <c r="J17" s="177">
        <v>304.7</v>
      </c>
      <c r="K17" s="177">
        <v>268.89999999999998</v>
      </c>
      <c r="L17" s="177">
        <v>227.5</v>
      </c>
      <c r="M17" s="177">
        <v>242.9</v>
      </c>
      <c r="N17" s="177">
        <v>259.39999999999998</v>
      </c>
      <c r="O17" s="177">
        <v>262.89999999999998</v>
      </c>
      <c r="P17" s="177">
        <v>270.89999999999998</v>
      </c>
      <c r="Q17" s="177">
        <v>281.7</v>
      </c>
      <c r="R17" s="177">
        <v>236.2</v>
      </c>
      <c r="S17" s="177">
        <v>81.5</v>
      </c>
      <c r="T17" s="177">
        <v>330.4</v>
      </c>
      <c r="U17" s="522">
        <v>500.6</v>
      </c>
      <c r="V17" s="184"/>
      <c r="W17" s="185"/>
    </row>
    <row r="18" spans="2:23" ht="14" customHeight="1">
      <c r="B18" s="188" t="s">
        <v>31</v>
      </c>
      <c r="C18" s="186">
        <v>471.8</v>
      </c>
      <c r="D18" s="186">
        <v>675.3</v>
      </c>
      <c r="E18" s="186">
        <v>760.5</v>
      </c>
      <c r="F18" s="186">
        <v>469.9</v>
      </c>
      <c r="G18" s="186">
        <v>490.6</v>
      </c>
      <c r="H18" s="186">
        <v>641.9</v>
      </c>
      <c r="I18" s="186">
        <v>294.7</v>
      </c>
      <c r="J18" s="186">
        <v>273.8</v>
      </c>
      <c r="K18" s="186">
        <v>269.3</v>
      </c>
      <c r="L18" s="186">
        <v>271</v>
      </c>
      <c r="M18" s="186">
        <v>325.10000000000002</v>
      </c>
      <c r="N18" s="186">
        <v>334.7</v>
      </c>
      <c r="O18" s="186">
        <v>298.7</v>
      </c>
      <c r="P18" s="186">
        <v>326</v>
      </c>
      <c r="Q18" s="186">
        <v>327.39999999999998</v>
      </c>
      <c r="R18" s="186">
        <v>228.8</v>
      </c>
      <c r="S18" s="186">
        <v>70.7</v>
      </c>
      <c r="T18" s="186">
        <v>319.5</v>
      </c>
      <c r="U18" s="521">
        <v>368.5</v>
      </c>
      <c r="V18" s="184"/>
      <c r="W18" s="185"/>
    </row>
    <row r="19" spans="2:23" ht="14" customHeight="1">
      <c r="B19" s="188" t="s">
        <v>33</v>
      </c>
      <c r="C19" s="177">
        <v>679.4</v>
      </c>
      <c r="D19" s="177">
        <v>600.29999999999995</v>
      </c>
      <c r="E19" s="177">
        <v>433.4</v>
      </c>
      <c r="F19" s="177">
        <v>450.2</v>
      </c>
      <c r="G19" s="177">
        <v>527.79999999999995</v>
      </c>
      <c r="H19" s="177">
        <v>285.3</v>
      </c>
      <c r="I19" s="177">
        <v>473.2</v>
      </c>
      <c r="J19" s="177">
        <v>451.9</v>
      </c>
      <c r="K19" s="177">
        <v>338.8</v>
      </c>
      <c r="L19" s="177">
        <v>352.5</v>
      </c>
      <c r="M19" s="177">
        <v>285.89999999999998</v>
      </c>
      <c r="N19" s="177">
        <v>264.39999999999998</v>
      </c>
      <c r="O19" s="177">
        <v>304.5</v>
      </c>
      <c r="P19" s="177">
        <v>244</v>
      </c>
      <c r="Q19" s="177">
        <v>255.8</v>
      </c>
      <c r="R19" s="177">
        <v>206.1</v>
      </c>
      <c r="S19" s="177">
        <v>99.5</v>
      </c>
      <c r="T19" s="177">
        <v>393.1</v>
      </c>
      <c r="U19" s="522">
        <v>353.1</v>
      </c>
      <c r="V19" s="184"/>
      <c r="W19" s="185"/>
    </row>
    <row r="20" spans="2:23" ht="14" customHeight="1">
      <c r="B20" s="188" t="s">
        <v>74</v>
      </c>
      <c r="C20" s="177">
        <v>1844.7</v>
      </c>
      <c r="D20" s="177">
        <v>555.5</v>
      </c>
      <c r="E20" s="177">
        <v>984</v>
      </c>
      <c r="F20" s="177">
        <v>1534.3</v>
      </c>
      <c r="G20" s="177">
        <v>2034</v>
      </c>
      <c r="H20" s="177">
        <v>1710.9</v>
      </c>
      <c r="I20" s="177">
        <v>1291.8</v>
      </c>
      <c r="J20" s="177">
        <v>2708.8</v>
      </c>
      <c r="K20" s="177">
        <v>2268.3000000000002</v>
      </c>
      <c r="L20" s="177">
        <v>1768.9</v>
      </c>
      <c r="M20" s="177">
        <v>1918.8</v>
      </c>
      <c r="N20" s="177">
        <v>2431.9</v>
      </c>
      <c r="O20" s="177">
        <v>2761.8</v>
      </c>
      <c r="P20" s="177">
        <v>2262.1</v>
      </c>
      <c r="Q20" s="177">
        <v>2016</v>
      </c>
      <c r="R20" s="177">
        <v>1517.7</v>
      </c>
      <c r="S20" s="177">
        <v>99.4</v>
      </c>
      <c r="T20" s="177">
        <v>621.9</v>
      </c>
      <c r="U20" s="522">
        <v>1554</v>
      </c>
      <c r="V20" s="184"/>
      <c r="W20" s="185"/>
    </row>
    <row r="21" spans="2:23" ht="14" customHeight="1">
      <c r="B21" s="188" t="s">
        <v>36</v>
      </c>
      <c r="C21" s="177">
        <v>266.8</v>
      </c>
      <c r="D21" s="177">
        <v>452.9</v>
      </c>
      <c r="E21" s="177">
        <v>341.4</v>
      </c>
      <c r="F21" s="177">
        <v>323.60000000000002</v>
      </c>
      <c r="G21" s="177">
        <v>205.1</v>
      </c>
      <c r="H21" s="177">
        <v>215.6</v>
      </c>
      <c r="I21" s="177">
        <v>157.6</v>
      </c>
      <c r="J21" s="177">
        <v>316.8</v>
      </c>
      <c r="K21" s="177">
        <v>226.1</v>
      </c>
      <c r="L21" s="177">
        <v>154.69999999999999</v>
      </c>
      <c r="M21" s="177">
        <v>226.1</v>
      </c>
      <c r="N21" s="177">
        <v>243</v>
      </c>
      <c r="O21" s="177">
        <v>587.20000000000005</v>
      </c>
      <c r="P21" s="177">
        <v>307.89999999999998</v>
      </c>
      <c r="Q21" s="177">
        <v>533.70000000000005</v>
      </c>
      <c r="R21" s="177">
        <v>196.1</v>
      </c>
      <c r="S21" s="177">
        <v>119.2</v>
      </c>
      <c r="T21" s="177">
        <v>593</v>
      </c>
      <c r="U21" s="522">
        <v>840.5</v>
      </c>
      <c r="V21" s="184"/>
      <c r="W21" s="185"/>
    </row>
    <row r="22" spans="2:23" ht="14" customHeight="1">
      <c r="B22" s="188" t="s">
        <v>67</v>
      </c>
      <c r="C22" s="186">
        <v>423.6</v>
      </c>
      <c r="D22" s="186">
        <v>504.4</v>
      </c>
      <c r="E22" s="186">
        <v>533</v>
      </c>
      <c r="F22" s="186">
        <v>576.4</v>
      </c>
      <c r="G22" s="186">
        <v>624.6</v>
      </c>
      <c r="H22" s="186">
        <v>347</v>
      </c>
      <c r="I22" s="186">
        <v>272.8</v>
      </c>
      <c r="J22" s="186">
        <v>257.7</v>
      </c>
      <c r="K22" s="186">
        <v>284.89999999999998</v>
      </c>
      <c r="L22" s="186">
        <v>251.3</v>
      </c>
      <c r="M22" s="186">
        <v>466.4</v>
      </c>
      <c r="N22" s="186">
        <v>505.1</v>
      </c>
      <c r="O22" s="186">
        <v>518.6</v>
      </c>
      <c r="P22" s="186">
        <v>395.5</v>
      </c>
      <c r="Q22" s="186">
        <v>443.4</v>
      </c>
      <c r="R22" s="186">
        <v>234</v>
      </c>
      <c r="S22" s="186">
        <v>658</v>
      </c>
      <c r="T22" s="186">
        <v>881.7</v>
      </c>
      <c r="U22" s="521">
        <v>582.70000000000005</v>
      </c>
      <c r="V22" s="184"/>
      <c r="W22" s="185"/>
    </row>
    <row r="23" spans="2:23" ht="14" customHeight="1">
      <c r="B23" s="188" t="s">
        <v>39</v>
      </c>
      <c r="C23" s="177">
        <v>386.4</v>
      </c>
      <c r="D23" s="177">
        <v>488.4</v>
      </c>
      <c r="E23" s="177">
        <v>401.1</v>
      </c>
      <c r="F23" s="177">
        <v>390.3</v>
      </c>
      <c r="G23" s="177">
        <v>377.7</v>
      </c>
      <c r="H23" s="177">
        <v>427.8</v>
      </c>
      <c r="I23" s="177">
        <v>263.3</v>
      </c>
      <c r="J23" s="177">
        <v>209</v>
      </c>
      <c r="K23" s="177">
        <v>184.7</v>
      </c>
      <c r="L23" s="177">
        <v>275.89999999999998</v>
      </c>
      <c r="M23" s="177">
        <v>383</v>
      </c>
      <c r="N23" s="177">
        <v>300.39999999999998</v>
      </c>
      <c r="O23" s="177">
        <v>319</v>
      </c>
      <c r="P23" s="177">
        <v>313.3</v>
      </c>
      <c r="Q23" s="177">
        <v>216.8</v>
      </c>
      <c r="R23" s="177">
        <v>209.3</v>
      </c>
      <c r="S23" s="177">
        <v>113</v>
      </c>
      <c r="T23" s="177">
        <v>305.39999999999998</v>
      </c>
      <c r="U23" s="522">
        <v>267.10000000000002</v>
      </c>
      <c r="V23" s="184"/>
      <c r="W23" s="185"/>
    </row>
    <row r="24" spans="2:23" ht="14" customHeight="1">
      <c r="B24" s="188" t="s">
        <v>41</v>
      </c>
      <c r="C24" s="177">
        <v>176</v>
      </c>
      <c r="D24" s="177">
        <v>287.10000000000002</v>
      </c>
      <c r="E24" s="177">
        <v>290</v>
      </c>
      <c r="F24" s="177">
        <v>328.8</v>
      </c>
      <c r="G24" s="177">
        <v>224.8</v>
      </c>
      <c r="H24" s="177">
        <v>217.1</v>
      </c>
      <c r="I24" s="177">
        <v>164.2</v>
      </c>
      <c r="J24" s="177">
        <v>253</v>
      </c>
      <c r="K24" s="177">
        <v>266.60000000000002</v>
      </c>
      <c r="L24" s="177">
        <v>255</v>
      </c>
      <c r="M24" s="177">
        <v>252</v>
      </c>
      <c r="N24" s="177">
        <v>269.60000000000002</v>
      </c>
      <c r="O24" s="177">
        <v>266.8</v>
      </c>
      <c r="P24" s="177">
        <v>275</v>
      </c>
      <c r="Q24" s="177">
        <v>233.1</v>
      </c>
      <c r="R24" s="177">
        <v>119</v>
      </c>
      <c r="S24" s="177">
        <v>231.1</v>
      </c>
      <c r="T24" s="177">
        <v>337</v>
      </c>
      <c r="U24" s="522">
        <v>284.89999999999998</v>
      </c>
      <c r="V24" s="184"/>
      <c r="W24" s="185"/>
    </row>
    <row r="25" spans="2:23" ht="14" customHeight="1">
      <c r="B25" s="188" t="s">
        <v>44</v>
      </c>
      <c r="C25" s="177">
        <v>407.4</v>
      </c>
      <c r="D25" s="177">
        <v>502.2</v>
      </c>
      <c r="E25" s="177">
        <v>403.4</v>
      </c>
      <c r="F25" s="177">
        <v>457.6</v>
      </c>
      <c r="G25" s="177">
        <v>455.1</v>
      </c>
      <c r="H25" s="177">
        <v>396</v>
      </c>
      <c r="I25" s="177">
        <v>347.1</v>
      </c>
      <c r="J25" s="177">
        <v>343</v>
      </c>
      <c r="K25" s="177">
        <v>374.2</v>
      </c>
      <c r="L25" s="177">
        <v>390.8</v>
      </c>
      <c r="M25" s="177">
        <v>392.5</v>
      </c>
      <c r="N25" s="177">
        <v>412.2</v>
      </c>
      <c r="O25" s="177">
        <v>436.1</v>
      </c>
      <c r="P25" s="177">
        <v>497.4</v>
      </c>
      <c r="Q25" s="177">
        <v>606.29999999999995</v>
      </c>
      <c r="R25" s="177">
        <v>439</v>
      </c>
      <c r="S25" s="177">
        <v>402.3</v>
      </c>
      <c r="T25" s="177">
        <v>460.4</v>
      </c>
      <c r="U25" s="522">
        <v>534</v>
      </c>
      <c r="V25" s="184"/>
      <c r="W25" s="185"/>
    </row>
    <row r="26" spans="2:23" ht="14" customHeight="1">
      <c r="B26" s="188" t="s">
        <v>46</v>
      </c>
      <c r="C26" s="187"/>
      <c r="D26" s="187"/>
      <c r="E26" s="276"/>
      <c r="F26" s="276"/>
      <c r="G26" s="276"/>
      <c r="H26" s="702" t="s">
        <v>97</v>
      </c>
      <c r="I26" s="702"/>
      <c r="J26" s="702"/>
      <c r="K26" s="702"/>
      <c r="L26" s="276"/>
      <c r="M26" s="276"/>
      <c r="N26" s="276"/>
      <c r="O26" s="276"/>
      <c r="P26" s="276"/>
      <c r="Q26" s="276"/>
      <c r="R26" s="276"/>
      <c r="S26" s="276"/>
      <c r="T26" s="276"/>
      <c r="U26" s="523"/>
      <c r="V26" s="184"/>
      <c r="W26" s="185"/>
    </row>
    <row r="27" spans="2:23" ht="14" customHeight="1">
      <c r="B27" s="188" t="s">
        <v>49</v>
      </c>
      <c r="C27" s="186">
        <v>2229.9</v>
      </c>
      <c r="D27" s="186">
        <v>1616</v>
      </c>
      <c r="E27" s="186">
        <v>1414.4</v>
      </c>
      <c r="F27" s="186">
        <v>1123.5</v>
      </c>
      <c r="G27" s="186">
        <v>1272</v>
      </c>
      <c r="H27" s="186">
        <v>854.7</v>
      </c>
      <c r="I27" s="186">
        <v>778.5</v>
      </c>
      <c r="J27" s="186">
        <v>648.5</v>
      </c>
      <c r="K27" s="186">
        <v>847</v>
      </c>
      <c r="L27" s="186">
        <v>570.6</v>
      </c>
      <c r="M27" s="186">
        <v>513.70000000000005</v>
      </c>
      <c r="N27" s="186">
        <v>721.8</v>
      </c>
      <c r="O27" s="186">
        <v>616.6</v>
      </c>
      <c r="P27" s="186">
        <v>767.4</v>
      </c>
      <c r="Q27" s="186">
        <v>1375.3</v>
      </c>
      <c r="R27" s="186">
        <v>1442</v>
      </c>
      <c r="S27" s="186">
        <v>657.6</v>
      </c>
      <c r="T27" s="186">
        <v>1142.8</v>
      </c>
      <c r="U27" s="521">
        <v>2264.9</v>
      </c>
      <c r="V27" s="184"/>
      <c r="W27" s="185"/>
    </row>
    <row r="28" spans="2:23" ht="14" customHeight="1">
      <c r="B28" s="188" t="s">
        <v>51</v>
      </c>
      <c r="C28" s="177">
        <v>1349.5</v>
      </c>
      <c r="D28" s="177">
        <v>1914.3</v>
      </c>
      <c r="E28" s="177">
        <v>2027.4</v>
      </c>
      <c r="F28" s="177">
        <v>1843.6</v>
      </c>
      <c r="G28" s="177">
        <v>2402.9</v>
      </c>
      <c r="H28" s="177">
        <v>2242.1</v>
      </c>
      <c r="I28" s="177">
        <v>1564.7</v>
      </c>
      <c r="J28" s="177">
        <v>3070.2</v>
      </c>
      <c r="K28" s="177">
        <v>2292.4</v>
      </c>
      <c r="L28" s="177">
        <v>2570.9</v>
      </c>
      <c r="M28" s="177">
        <v>1971.2</v>
      </c>
      <c r="N28" s="177">
        <v>2086</v>
      </c>
      <c r="O28" s="177">
        <v>2669.6</v>
      </c>
      <c r="P28" s="177">
        <v>2373.5</v>
      </c>
      <c r="Q28" s="177">
        <v>2389.8000000000002</v>
      </c>
      <c r="R28" s="177">
        <v>1767.3</v>
      </c>
      <c r="S28" s="177">
        <v>1144.5999999999999</v>
      </c>
      <c r="T28" s="177">
        <v>2949.7</v>
      </c>
      <c r="U28" s="522">
        <v>2166.8000000000002</v>
      </c>
      <c r="V28" s="700"/>
      <c r="W28" s="700"/>
    </row>
    <row r="29" spans="2:23" ht="14" customHeight="1">
      <c r="B29" s="188" t="s">
        <v>53</v>
      </c>
      <c r="C29" s="186">
        <v>527.1</v>
      </c>
      <c r="D29" s="186">
        <v>851</v>
      </c>
      <c r="E29" s="186">
        <v>1209.4000000000001</v>
      </c>
      <c r="F29" s="186">
        <v>928.5</v>
      </c>
      <c r="G29" s="186">
        <v>887.8</v>
      </c>
      <c r="H29" s="186">
        <v>920.9</v>
      </c>
      <c r="I29" s="186">
        <v>441.3</v>
      </c>
      <c r="J29" s="186">
        <v>830.8</v>
      </c>
      <c r="K29" s="186">
        <v>802.7</v>
      </c>
      <c r="L29" s="186">
        <v>408.2</v>
      </c>
      <c r="M29" s="186">
        <v>708.7</v>
      </c>
      <c r="N29" s="186">
        <v>928.7</v>
      </c>
      <c r="O29" s="186">
        <v>987.4</v>
      </c>
      <c r="P29" s="186">
        <v>1118.7</v>
      </c>
      <c r="Q29" s="186">
        <v>901.7</v>
      </c>
      <c r="R29" s="186">
        <v>674.6</v>
      </c>
      <c r="S29" s="186">
        <v>22.5</v>
      </c>
      <c r="T29" s="186">
        <v>108.7</v>
      </c>
      <c r="U29" s="522">
        <v>131.4</v>
      </c>
      <c r="V29" s="184"/>
      <c r="W29" s="185"/>
    </row>
    <row r="30" spans="2:23" ht="14" customHeight="1">
      <c r="B30" s="188" t="s">
        <v>55</v>
      </c>
      <c r="C30" s="177">
        <v>1548.7</v>
      </c>
      <c r="D30" s="177">
        <v>1039.2</v>
      </c>
      <c r="E30" s="177">
        <v>3342.6</v>
      </c>
      <c r="F30" s="177">
        <v>1714.5</v>
      </c>
      <c r="G30" s="177">
        <v>1207.7</v>
      </c>
      <c r="H30" s="177">
        <v>1071.7</v>
      </c>
      <c r="I30" s="177">
        <v>1081.5</v>
      </c>
      <c r="J30" s="177">
        <v>1244.0999999999999</v>
      </c>
      <c r="K30" s="177">
        <v>1458.7</v>
      </c>
      <c r="L30" s="177">
        <v>2968.6</v>
      </c>
      <c r="M30" s="177">
        <v>1549</v>
      </c>
      <c r="N30" s="177">
        <v>1322.6</v>
      </c>
      <c r="O30" s="177">
        <v>1302.4000000000001</v>
      </c>
      <c r="P30" s="177">
        <v>1408.6</v>
      </c>
      <c r="Q30" s="177">
        <v>2035.4</v>
      </c>
      <c r="R30" s="177">
        <v>3042.2</v>
      </c>
      <c r="S30" s="177">
        <v>804.9</v>
      </c>
      <c r="T30" s="177">
        <v>1700.3</v>
      </c>
      <c r="U30" s="522">
        <v>2001.8</v>
      </c>
      <c r="V30" s="184"/>
      <c r="W30" s="185"/>
    </row>
    <row r="31" spans="2:23" ht="14" customHeight="1">
      <c r="B31" s="188" t="s">
        <v>57</v>
      </c>
      <c r="C31" s="177">
        <v>2509.9</v>
      </c>
      <c r="D31" s="177">
        <v>2997.8</v>
      </c>
      <c r="E31" s="177">
        <v>4316.1000000000004</v>
      </c>
      <c r="F31" s="177">
        <v>2080.3000000000002</v>
      </c>
      <c r="G31" s="177">
        <v>1501.4</v>
      </c>
      <c r="H31" s="177">
        <v>1437.7</v>
      </c>
      <c r="I31" s="177">
        <v>1372.9</v>
      </c>
      <c r="J31" s="177">
        <v>1300.7</v>
      </c>
      <c r="K31" s="177">
        <v>891.1</v>
      </c>
      <c r="L31" s="177">
        <v>804.4</v>
      </c>
      <c r="M31" s="177">
        <v>926</v>
      </c>
      <c r="N31" s="177">
        <v>1037.0999999999999</v>
      </c>
      <c r="O31" s="177">
        <v>974.2</v>
      </c>
      <c r="P31" s="177">
        <v>1038.5</v>
      </c>
      <c r="Q31" s="177">
        <v>979</v>
      </c>
      <c r="R31" s="177">
        <v>1271.4000000000001</v>
      </c>
      <c r="S31" s="177">
        <v>311.2</v>
      </c>
      <c r="T31" s="177">
        <v>976.7</v>
      </c>
      <c r="U31" s="522">
        <v>1152</v>
      </c>
      <c r="V31" s="184"/>
      <c r="W31" s="185"/>
    </row>
    <row r="32" spans="2:23" ht="14" customHeight="1">
      <c r="B32" s="188" t="s">
        <v>68</v>
      </c>
      <c r="C32" s="177">
        <v>380</v>
      </c>
      <c r="D32" s="177">
        <v>236.9</v>
      </c>
      <c r="E32" s="177">
        <v>262</v>
      </c>
      <c r="F32" s="177">
        <v>314</v>
      </c>
      <c r="G32" s="177">
        <v>284.5</v>
      </c>
      <c r="H32" s="177">
        <v>237.4</v>
      </c>
      <c r="I32" s="177">
        <v>223.4</v>
      </c>
      <c r="J32" s="177">
        <v>140.5</v>
      </c>
      <c r="K32" s="177">
        <v>186.3</v>
      </c>
      <c r="L32" s="177">
        <v>184.7</v>
      </c>
      <c r="M32" s="177">
        <v>439.7</v>
      </c>
      <c r="N32" s="177">
        <v>611.1</v>
      </c>
      <c r="O32" s="177">
        <v>421.3</v>
      </c>
      <c r="P32" s="177">
        <v>311.39999999999998</v>
      </c>
      <c r="Q32" s="177">
        <v>293.7</v>
      </c>
      <c r="R32" s="177">
        <v>206.5</v>
      </c>
      <c r="S32" s="177">
        <v>425.8</v>
      </c>
      <c r="T32" s="177">
        <v>1053.3</v>
      </c>
      <c r="U32" s="522">
        <v>729.2</v>
      </c>
      <c r="V32" s="184"/>
      <c r="W32" s="185"/>
    </row>
    <row r="33" spans="2:23" ht="14" customHeight="1">
      <c r="B33" s="188" t="s">
        <v>59</v>
      </c>
      <c r="C33" s="177">
        <v>6726</v>
      </c>
      <c r="D33" s="177">
        <v>6108.3</v>
      </c>
      <c r="E33" s="177">
        <v>4676.8</v>
      </c>
      <c r="F33" s="177">
        <v>7705.3</v>
      </c>
      <c r="G33" s="177">
        <v>8572.5</v>
      </c>
      <c r="H33" s="177">
        <v>6587</v>
      </c>
      <c r="I33" s="177">
        <v>9369.1</v>
      </c>
      <c r="J33" s="177">
        <v>15701.9</v>
      </c>
      <c r="K33" s="177">
        <v>6173.2</v>
      </c>
      <c r="L33" s="177">
        <v>4137.6000000000004</v>
      </c>
      <c r="M33" s="177">
        <v>3644</v>
      </c>
      <c r="N33" s="177">
        <v>5327.4</v>
      </c>
      <c r="O33" s="177">
        <v>3952</v>
      </c>
      <c r="P33" s="177">
        <v>4419.7</v>
      </c>
      <c r="Q33" s="177">
        <v>3304.6</v>
      </c>
      <c r="R33" s="177">
        <v>3501.2</v>
      </c>
      <c r="S33" s="177">
        <v>3868.8</v>
      </c>
      <c r="T33" s="177">
        <v>7121.6</v>
      </c>
      <c r="U33" s="522">
        <v>2374.4</v>
      </c>
      <c r="V33" s="184"/>
      <c r="W33" s="185"/>
    </row>
    <row r="34" spans="2:23" ht="14" customHeight="1">
      <c r="B34" s="188" t="s">
        <v>61</v>
      </c>
      <c r="C34" s="177">
        <v>3747.4</v>
      </c>
      <c r="D34" s="177">
        <v>5180.8</v>
      </c>
      <c r="E34" s="177">
        <v>3255.9</v>
      </c>
      <c r="F34" s="177">
        <v>4805.1000000000004</v>
      </c>
      <c r="G34" s="177">
        <v>5751.3</v>
      </c>
      <c r="H34" s="177">
        <v>3884.7</v>
      </c>
      <c r="I34" s="177">
        <v>7747</v>
      </c>
      <c r="J34" s="177">
        <v>10352.5</v>
      </c>
      <c r="K34" s="177">
        <v>5104.7</v>
      </c>
      <c r="L34" s="177">
        <v>4116.2</v>
      </c>
      <c r="M34" s="177">
        <v>4802</v>
      </c>
      <c r="N34" s="177">
        <v>3826</v>
      </c>
      <c r="O34" s="177">
        <v>4124.5</v>
      </c>
      <c r="P34" s="177">
        <v>5751</v>
      </c>
      <c r="Q34" s="177">
        <v>4711.3</v>
      </c>
      <c r="R34" s="177">
        <v>3556.9</v>
      </c>
      <c r="S34" s="177">
        <v>1258.2</v>
      </c>
      <c r="T34" s="177">
        <v>1346.1</v>
      </c>
      <c r="U34" s="522">
        <v>2189.1999999999998</v>
      </c>
      <c r="V34" s="184"/>
      <c r="W34" s="185"/>
    </row>
    <row r="35" spans="2:23" ht="14" customHeight="1">
      <c r="B35" s="188" t="s">
        <v>95</v>
      </c>
      <c r="C35" s="177">
        <v>748.6</v>
      </c>
      <c r="D35" s="177">
        <v>407.7</v>
      </c>
      <c r="E35" s="177">
        <v>270.89999999999998</v>
      </c>
      <c r="F35" s="177">
        <v>239.4</v>
      </c>
      <c r="G35" s="177">
        <v>414.9</v>
      </c>
      <c r="H35" s="177">
        <v>232.4</v>
      </c>
      <c r="I35" s="177">
        <v>453.6</v>
      </c>
      <c r="J35" s="177">
        <v>379.8</v>
      </c>
      <c r="K35" s="177">
        <v>367.1</v>
      </c>
      <c r="L35" s="177">
        <v>266.2</v>
      </c>
      <c r="M35" s="177">
        <v>641.79999999999995</v>
      </c>
      <c r="N35" s="177">
        <v>861</v>
      </c>
      <c r="O35" s="177">
        <v>882</v>
      </c>
      <c r="P35" s="177">
        <v>633.6</v>
      </c>
      <c r="Q35" s="177">
        <v>702.4</v>
      </c>
      <c r="R35" s="177">
        <v>282</v>
      </c>
      <c r="S35" s="177">
        <v>487.7</v>
      </c>
      <c r="T35" s="177">
        <v>424.9</v>
      </c>
      <c r="U35" s="522">
        <v>293.5</v>
      </c>
      <c r="V35" s="700"/>
      <c r="W35" s="700"/>
    </row>
    <row r="36" spans="2:23" ht="14" customHeight="1">
      <c r="B36" s="188" t="s">
        <v>65</v>
      </c>
      <c r="C36" s="699" t="s">
        <v>148</v>
      </c>
      <c r="D36" s="699"/>
      <c r="E36" s="699"/>
      <c r="F36" s="699"/>
      <c r="G36" s="186">
        <v>1246.9000000000001</v>
      </c>
      <c r="H36" s="186">
        <v>2041.8</v>
      </c>
      <c r="I36" s="186">
        <v>2028.4</v>
      </c>
      <c r="J36" s="186">
        <v>2792.1</v>
      </c>
      <c r="K36" s="186">
        <v>2377</v>
      </c>
      <c r="L36" s="186">
        <v>2240.5</v>
      </c>
      <c r="M36" s="186">
        <v>2895.3</v>
      </c>
      <c r="N36" s="186">
        <v>3367.1</v>
      </c>
      <c r="O36" s="186">
        <v>3876.1</v>
      </c>
      <c r="P36" s="186">
        <v>3413.9</v>
      </c>
      <c r="Q36" s="186">
        <v>4052.9</v>
      </c>
      <c r="R36" s="186">
        <v>2319.6999999999998</v>
      </c>
      <c r="S36" s="186">
        <v>3783.4</v>
      </c>
      <c r="T36" s="186">
        <v>2139.8000000000002</v>
      </c>
      <c r="U36" s="521">
        <v>597.6</v>
      </c>
      <c r="V36" s="184"/>
      <c r="W36" s="185"/>
    </row>
    <row r="37" spans="2:23" ht="14" customHeight="1">
      <c r="B37" s="188" t="s">
        <v>5</v>
      </c>
      <c r="C37" s="177">
        <v>159.69999999999999</v>
      </c>
      <c r="D37" s="177">
        <v>278.10000000000002</v>
      </c>
      <c r="E37" s="177">
        <v>255.7</v>
      </c>
      <c r="F37" s="177">
        <v>191.9</v>
      </c>
      <c r="G37" s="177">
        <v>250.9</v>
      </c>
      <c r="H37" s="177">
        <v>226</v>
      </c>
      <c r="I37" s="177">
        <v>213.8</v>
      </c>
      <c r="J37" s="177">
        <v>207.2</v>
      </c>
      <c r="K37" s="177">
        <v>244.1</v>
      </c>
      <c r="L37" s="177">
        <v>189.1</v>
      </c>
      <c r="M37" s="177">
        <v>167.5</v>
      </c>
      <c r="N37" s="177">
        <v>181.6</v>
      </c>
      <c r="O37" s="177">
        <v>231.4</v>
      </c>
      <c r="P37" s="177">
        <v>211.6</v>
      </c>
      <c r="Q37" s="177">
        <v>230</v>
      </c>
      <c r="R37" s="177">
        <v>192.4</v>
      </c>
      <c r="S37" s="177">
        <v>126.9</v>
      </c>
      <c r="T37" s="177">
        <v>85.6</v>
      </c>
      <c r="U37" s="522">
        <v>291.2</v>
      </c>
      <c r="V37" s="184"/>
      <c r="W37" s="185"/>
    </row>
    <row r="38" spans="2:23" ht="16.25" customHeight="1" thickBot="1">
      <c r="B38" s="189" t="s">
        <v>48</v>
      </c>
      <c r="C38" s="190">
        <v>239.2</v>
      </c>
      <c r="D38" s="190">
        <v>204.7</v>
      </c>
      <c r="E38" s="190">
        <v>197.9</v>
      </c>
      <c r="F38" s="190">
        <v>195.4</v>
      </c>
      <c r="G38" s="190">
        <v>202.8</v>
      </c>
      <c r="H38" s="190">
        <v>217.9</v>
      </c>
      <c r="I38" s="190">
        <v>249</v>
      </c>
      <c r="J38" s="190">
        <v>157.1</v>
      </c>
      <c r="K38" s="190">
        <v>159.69999999999999</v>
      </c>
      <c r="L38" s="190">
        <v>157.80000000000001</v>
      </c>
      <c r="M38" s="190">
        <v>165</v>
      </c>
      <c r="N38" s="190">
        <v>159.9</v>
      </c>
      <c r="O38" s="190">
        <v>188.2</v>
      </c>
      <c r="P38" s="190">
        <v>209.1</v>
      </c>
      <c r="Q38" s="190">
        <v>190.9</v>
      </c>
      <c r="R38" s="190">
        <v>74.2</v>
      </c>
      <c r="S38" s="190">
        <v>109.4</v>
      </c>
      <c r="T38" s="190">
        <v>279.3</v>
      </c>
      <c r="U38" s="524">
        <v>296.5</v>
      </c>
      <c r="V38" s="700"/>
      <c r="W38" s="700"/>
    </row>
    <row r="39" spans="2:23" ht="14.75" customHeight="1">
      <c r="B39" s="262" t="s">
        <v>151</v>
      </c>
      <c r="C39" s="263">
        <v>29932.6</v>
      </c>
      <c r="D39" s="263">
        <v>30990.2</v>
      </c>
      <c r="E39" s="263">
        <v>30519.5</v>
      </c>
      <c r="F39" s="263">
        <v>30971.200000000001</v>
      </c>
      <c r="G39" s="263">
        <v>33804.6</v>
      </c>
      <c r="H39" s="264">
        <f>SUM(H4:H12,H14:H25,H27:H38)</f>
        <v>27778.400000000005</v>
      </c>
      <c r="I39" s="265">
        <f>SUM(I4:I12,I14:I25,I27:I38)</f>
        <v>32417.8</v>
      </c>
      <c r="J39" s="265">
        <f>SUM(J4:J12,J14:J25,J27:J38)</f>
        <v>45745.5</v>
      </c>
      <c r="K39" s="264">
        <f t="shared" ref="K39:U39" si="0">SUM(K4:K12,K14:K25,K27:K38)</f>
        <v>29664.2</v>
      </c>
      <c r="L39" s="265">
        <f t="shared" si="0"/>
        <v>26572</v>
      </c>
      <c r="M39" s="265">
        <f t="shared" si="0"/>
        <v>26987.7</v>
      </c>
      <c r="N39" s="264">
        <f t="shared" si="0"/>
        <v>29376.9</v>
      </c>
      <c r="O39" s="265">
        <f t="shared" si="0"/>
        <v>29879.600000000002</v>
      </c>
      <c r="P39" s="265">
        <f t="shared" si="0"/>
        <v>30811.599999999995</v>
      </c>
      <c r="Q39" s="264">
        <f t="shared" si="0"/>
        <v>30247.300000000003</v>
      </c>
      <c r="R39" s="265">
        <f t="shared" si="0"/>
        <v>25142.500000000004</v>
      </c>
      <c r="S39" s="265">
        <f t="shared" si="0"/>
        <v>17559.700000000008</v>
      </c>
      <c r="T39" s="264">
        <f t="shared" si="0"/>
        <v>28550.6</v>
      </c>
      <c r="U39" s="608">
        <f t="shared" si="0"/>
        <v>25500.300000000003</v>
      </c>
      <c r="V39" s="183"/>
      <c r="W39" s="184"/>
    </row>
    <row r="40" spans="2:23" ht="14.75" customHeight="1">
      <c r="B40" s="266" t="s">
        <v>163</v>
      </c>
      <c r="C40" s="267"/>
      <c r="D40" s="267"/>
      <c r="E40" s="267"/>
      <c r="F40" s="267"/>
      <c r="G40" s="267"/>
      <c r="H40" s="268">
        <f t="shared" ref="H40:T40" si="1">(H39*3.179)/1000</f>
        <v>88.307533600000014</v>
      </c>
      <c r="I40" s="268">
        <f t="shared" si="1"/>
        <v>103.0561862</v>
      </c>
      <c r="J40" s="268">
        <f t="shared" si="1"/>
        <v>145.42494449999998</v>
      </c>
      <c r="K40" s="268">
        <f t="shared" si="1"/>
        <v>94.302491799999999</v>
      </c>
      <c r="L40" s="268">
        <f t="shared" si="1"/>
        <v>84.472387999999995</v>
      </c>
      <c r="M40" s="268">
        <f t="shared" si="1"/>
        <v>85.793898299999995</v>
      </c>
      <c r="N40" s="268">
        <f t="shared" si="1"/>
        <v>93.3891651</v>
      </c>
      <c r="O40" s="268">
        <f t="shared" si="1"/>
        <v>94.987248399999999</v>
      </c>
      <c r="P40" s="268">
        <f t="shared" si="1"/>
        <v>97.950076399999972</v>
      </c>
      <c r="Q40" s="268">
        <f t="shared" si="1"/>
        <v>96.1561667</v>
      </c>
      <c r="R40" s="268">
        <f t="shared" si="1"/>
        <v>79.928007500000007</v>
      </c>
      <c r="S40" s="268">
        <f t="shared" si="1"/>
        <v>55.822286300000023</v>
      </c>
      <c r="T40" s="268">
        <f t="shared" si="1"/>
        <v>90.762357399999999</v>
      </c>
      <c r="U40" s="525">
        <f>(U39*3.179)/1000</f>
        <v>81.065453699999992</v>
      </c>
      <c r="V40" s="183"/>
      <c r="W40" s="184"/>
    </row>
    <row r="41" spans="2:23" ht="16.25" customHeight="1" thickBot="1">
      <c r="B41" s="321" t="s">
        <v>149</v>
      </c>
      <c r="C41" s="269"/>
      <c r="D41" s="269"/>
      <c r="E41" s="269"/>
      <c r="F41" s="269"/>
      <c r="G41" s="269"/>
      <c r="H41" s="270">
        <f>(H39/'GHGI-Scope 1'!C6)*1000</f>
        <v>1645.1525022209064</v>
      </c>
      <c r="I41" s="270">
        <f>(I39/'GHGI-Scope 1'!D6)*1000</f>
        <v>1890.4711919757406</v>
      </c>
      <c r="J41" s="270">
        <f>(J39/'GHGI-Scope 1'!E6)*1000</f>
        <v>2672.3624255169993</v>
      </c>
      <c r="K41" s="270">
        <f>(K39/'GHGI-Scope 1'!F6)*1000</f>
        <v>1715.6853672643147</v>
      </c>
      <c r="L41" s="270">
        <f>(L39/'GHGI-Scope 1'!G6)*1000</f>
        <v>1572.0286339703011</v>
      </c>
      <c r="M41" s="270">
        <f>(M39/'GHGI-Scope 1'!H6)*1000</f>
        <v>1558.5412335412336</v>
      </c>
      <c r="N41" s="270">
        <f>(N39/'GHGI-Scope 1'!I6)*1000</f>
        <v>1673.2300506920317</v>
      </c>
      <c r="O41" s="270">
        <f>(O39/'GHGI-Scope 1'!J6)*1000</f>
        <v>1669.9044319007435</v>
      </c>
      <c r="P41" s="270">
        <f>(P39/'GHGI-Scope 1'!K6)*1000</f>
        <v>1701.5462778882261</v>
      </c>
      <c r="Q41" s="270">
        <f>(Q39/'GHGI-Scope 1'!L6)*1000</f>
        <v>1663.0360677369695</v>
      </c>
      <c r="R41" s="270">
        <f>(R39/'GHGI-Scope 1'!M6)*1000</f>
        <v>1387.938172784985</v>
      </c>
      <c r="S41" s="270">
        <f>(S39/'GHGI-Scope 1'!N6)*1000</f>
        <v>987.55413081379038</v>
      </c>
      <c r="T41" s="270">
        <f>(T39/'GHGI-Scope 1'!O6)*1000</f>
        <v>1629.6934756550031</v>
      </c>
      <c r="U41" s="526">
        <f>(U39/'GHGI-Scope 1'!P6)*1000</f>
        <v>1465.955734406439</v>
      </c>
      <c r="V41" s="179"/>
      <c r="W41" s="179"/>
    </row>
    <row r="42" spans="2:23" ht="14.75" customHeight="1">
      <c r="B42" s="180"/>
      <c r="C42" s="179"/>
      <c r="D42" s="179"/>
      <c r="E42" s="179"/>
      <c r="F42" s="179"/>
      <c r="G42" s="179"/>
      <c r="H42" s="179"/>
      <c r="I42" s="179"/>
      <c r="J42" s="179"/>
      <c r="K42" s="179"/>
      <c r="L42" s="179"/>
      <c r="M42" s="179"/>
      <c r="N42" s="179"/>
      <c r="O42" s="179"/>
      <c r="P42" s="179"/>
      <c r="Q42" s="179"/>
      <c r="R42" s="179"/>
      <c r="S42" s="180"/>
      <c r="T42" s="180"/>
      <c r="U42" s="180"/>
      <c r="V42" s="179"/>
      <c r="W42" s="179"/>
    </row>
    <row r="43" spans="2:23" ht="14.75" customHeight="1">
      <c r="B43" s="179"/>
      <c r="C43" s="179"/>
      <c r="D43" s="179"/>
      <c r="E43" s="179"/>
      <c r="F43" s="179"/>
      <c r="G43" s="179"/>
      <c r="H43" s="179"/>
      <c r="I43" s="179"/>
      <c r="J43" s="179"/>
      <c r="K43" s="179"/>
      <c r="L43" s="179"/>
      <c r="M43" s="179"/>
      <c r="N43" s="599"/>
      <c r="O43" s="599"/>
      <c r="P43" s="599"/>
      <c r="Q43" s="599"/>
      <c r="R43" s="599"/>
      <c r="S43" s="599"/>
      <c r="T43" s="599"/>
      <c r="U43" s="599"/>
      <c r="V43" s="179"/>
      <c r="W43" s="179"/>
    </row>
    <row r="44" spans="2:23" ht="14.75" customHeight="1">
      <c r="B44" s="180"/>
      <c r="C44" s="182"/>
      <c r="D44" s="182"/>
      <c r="E44" s="182"/>
      <c r="F44" s="182"/>
      <c r="G44" s="182"/>
      <c r="H44" s="182"/>
      <c r="I44" s="182"/>
      <c r="J44" s="182"/>
      <c r="K44" s="182"/>
      <c r="L44" s="182"/>
      <c r="M44" s="182"/>
      <c r="N44" s="182"/>
      <c r="O44" s="182"/>
      <c r="P44" s="182"/>
      <c r="Q44" s="182"/>
      <c r="R44" s="600"/>
      <c r="S44" s="600"/>
      <c r="T44" s="182"/>
      <c r="U44" s="182"/>
      <c r="V44" s="179"/>
      <c r="W44" s="179"/>
    </row>
    <row r="45" spans="2:23" ht="14.75" customHeight="1">
      <c r="B45" s="180"/>
      <c r="C45" s="182"/>
      <c r="D45" s="182"/>
      <c r="E45" s="182"/>
      <c r="F45" s="182"/>
      <c r="G45" s="182"/>
      <c r="H45" s="182"/>
      <c r="I45" s="182"/>
      <c r="J45" s="182"/>
      <c r="K45" s="182"/>
      <c r="L45" s="182"/>
      <c r="M45" s="182"/>
      <c r="N45" s="182"/>
      <c r="O45" s="182"/>
      <c r="P45" s="182"/>
      <c r="Q45" s="182"/>
      <c r="R45" s="182"/>
      <c r="S45" s="182"/>
      <c r="T45" s="182"/>
      <c r="U45" s="182"/>
      <c r="V45" s="179"/>
      <c r="W45" s="179"/>
    </row>
    <row r="46" spans="2:23" ht="14.75" customHeight="1">
      <c r="B46" s="179"/>
      <c r="C46" s="179"/>
      <c r="D46" s="179"/>
      <c r="E46" s="179"/>
      <c r="F46" s="179"/>
      <c r="G46" s="179"/>
      <c r="H46" s="179"/>
      <c r="I46" s="179"/>
      <c r="J46" s="179"/>
      <c r="K46" s="179"/>
      <c r="L46" s="179"/>
      <c r="M46" s="179"/>
      <c r="N46" s="179"/>
      <c r="O46" s="179"/>
      <c r="P46" s="179"/>
      <c r="Q46" s="179"/>
      <c r="R46" s="179"/>
      <c r="S46" s="179"/>
      <c r="T46" s="179"/>
      <c r="U46" s="179"/>
      <c r="V46" s="180"/>
      <c r="W46" s="179"/>
    </row>
    <row r="47" spans="2:23" ht="14.75" customHeight="1">
      <c r="B47" s="181"/>
      <c r="C47" s="181"/>
      <c r="D47" s="181"/>
      <c r="E47" s="181"/>
      <c r="F47" s="181"/>
      <c r="G47" s="179"/>
      <c r="H47" s="179"/>
      <c r="I47" s="179"/>
      <c r="J47" s="179"/>
      <c r="K47" s="179"/>
      <c r="L47" s="179"/>
      <c r="M47" s="179"/>
      <c r="N47" s="179"/>
      <c r="O47" s="179"/>
      <c r="P47" s="179"/>
      <c r="Q47" s="179"/>
      <c r="R47" s="179"/>
      <c r="S47" s="179"/>
      <c r="T47" s="179"/>
      <c r="U47" s="179"/>
      <c r="V47" s="179"/>
      <c r="W47" s="179"/>
    </row>
    <row r="48" spans="2:23" ht="14.75" customHeight="1">
      <c r="B48" s="179"/>
      <c r="C48" s="179"/>
      <c r="D48" s="179"/>
      <c r="E48" s="179"/>
      <c r="F48" s="179"/>
      <c r="G48" s="179"/>
      <c r="H48" s="179"/>
      <c r="I48" s="179"/>
      <c r="J48" s="179"/>
      <c r="K48" s="179"/>
      <c r="L48" s="179"/>
      <c r="M48" s="179"/>
      <c r="N48" s="179"/>
      <c r="O48" s="179"/>
      <c r="P48" s="179"/>
      <c r="Q48" s="181"/>
      <c r="R48" s="179"/>
      <c r="S48" s="179"/>
      <c r="T48" s="179"/>
      <c r="U48" s="179"/>
      <c r="V48" s="179"/>
      <c r="W48" s="179"/>
    </row>
    <row r="49" spans="2:23">
      <c r="B49" s="179"/>
      <c r="C49" s="179"/>
      <c r="D49" s="179"/>
      <c r="E49" s="179"/>
      <c r="F49" s="179"/>
      <c r="G49" s="179"/>
      <c r="H49" s="179"/>
      <c r="I49" s="179"/>
      <c r="J49" s="179"/>
      <c r="K49" s="179"/>
      <c r="L49" s="179"/>
      <c r="M49" s="179"/>
      <c r="N49" s="179"/>
      <c r="O49" s="179"/>
      <c r="P49" s="179"/>
      <c r="Q49" s="179"/>
      <c r="R49" s="179"/>
      <c r="S49" s="179"/>
      <c r="T49" s="179"/>
      <c r="U49" s="179"/>
      <c r="V49" s="179"/>
      <c r="W49" s="179"/>
    </row>
    <row r="50" spans="2:23">
      <c r="B50" s="179"/>
      <c r="C50" s="179"/>
      <c r="D50" s="179"/>
      <c r="E50" s="179"/>
      <c r="F50" s="179"/>
      <c r="G50" s="179"/>
      <c r="H50" s="179"/>
      <c r="I50" s="179"/>
      <c r="J50" s="179"/>
      <c r="K50" s="179"/>
      <c r="L50" s="179"/>
      <c r="M50" s="179"/>
      <c r="N50" s="179"/>
      <c r="O50" s="179"/>
      <c r="P50" s="179"/>
      <c r="Q50" s="179"/>
      <c r="R50" s="179"/>
      <c r="S50" s="179"/>
      <c r="T50" s="179"/>
      <c r="U50" s="179"/>
      <c r="V50" s="179"/>
      <c r="W50" s="179"/>
    </row>
    <row r="51" spans="2:23">
      <c r="U51" s="181"/>
      <c r="V51" s="179"/>
      <c r="W51" s="179"/>
    </row>
    <row r="52" spans="2:23">
      <c r="U52" s="179"/>
      <c r="V52" s="179"/>
      <c r="W52" s="179"/>
    </row>
    <row r="53" spans="2:23">
      <c r="U53" s="179"/>
      <c r="V53" s="179"/>
      <c r="W53" s="179"/>
    </row>
    <row r="54" spans="2:23">
      <c r="U54" s="179"/>
      <c r="V54" s="179"/>
      <c r="W54" s="179"/>
    </row>
    <row r="55" spans="2:23">
      <c r="U55" s="179"/>
      <c r="V55" s="179"/>
      <c r="W55" s="179"/>
    </row>
  </sheetData>
  <mergeCells count="8">
    <mergeCell ref="B2:J2"/>
    <mergeCell ref="H13:I13"/>
    <mergeCell ref="V28:W28"/>
    <mergeCell ref="V35:W35"/>
    <mergeCell ref="V38:W38"/>
    <mergeCell ref="C4:D4"/>
    <mergeCell ref="H26:K26"/>
    <mergeCell ref="C36:F36"/>
  </mergeCells>
  <conditionalFormatting sqref="H41:U41">
    <cfRule type="colorScale" priority="2">
      <colorScale>
        <cfvo type="min"/>
        <cfvo type="percentile" val="50"/>
        <cfvo type="max"/>
        <color rgb="FF63BE7B"/>
        <color rgb="FFFFEB84"/>
        <color rgb="FFF8696B"/>
      </colorScale>
    </cfRule>
  </conditionalFormatting>
  <conditionalFormatting sqref="H40:U40">
    <cfRule type="colorScale" priority="1">
      <colorScale>
        <cfvo type="min"/>
        <cfvo type="percentile" val="50"/>
        <cfvo type="max"/>
        <color rgb="FF63BE7B"/>
        <color rgb="FFFFEB84"/>
        <color rgb="FFF8696B"/>
      </colorScale>
    </cfRule>
  </conditionalFormatting>
  <conditionalFormatting sqref="H39:U39">
    <cfRule type="colorScale" priority="223">
      <colorScale>
        <cfvo type="min"/>
        <cfvo type="percentile" val="50"/>
        <cfvo type="max"/>
        <color rgb="FF63BE7B"/>
        <color rgb="FFFFEB84"/>
        <color rgb="FFF8696B"/>
      </colorScale>
    </cfRule>
  </conditionalFormatting>
  <conditionalFormatting sqref="U51">
    <cfRule type="colorScale" priority="244">
      <colorScale>
        <cfvo type="min"/>
        <cfvo type="percentile" val="50"/>
        <cfvo type="max"/>
        <color rgb="FF63BE7B"/>
        <color rgb="FFFFEB84"/>
        <color rgb="FFF8696B"/>
      </colorScale>
    </cfRule>
  </conditionalFormatting>
  <pageMargins left="0.7" right="0.7" top="0.75" bottom="0.75" header="0.3" footer="0.3"/>
  <pageSetup scale="57" orientation="landscape"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9EA83-6528-AA4E-BEE1-D0BC8F0F8F3D}">
  <sheetPr>
    <pageSetUpPr fitToPage="1"/>
  </sheetPr>
  <dimension ref="B1:U38"/>
  <sheetViews>
    <sheetView workbookViewId="0">
      <selection activeCell="V29" sqref="V29"/>
    </sheetView>
  </sheetViews>
  <sheetFormatPr baseColWidth="10" defaultColWidth="11.5" defaultRowHeight="15"/>
  <cols>
    <col min="2" max="2" width="30.6640625" customWidth="1"/>
    <col min="3" max="7" width="0" hidden="1" customWidth="1"/>
    <col min="8" max="21" width="12.1640625" customWidth="1"/>
  </cols>
  <sheetData>
    <row r="1" spans="2:21" ht="16" thickBot="1"/>
    <row r="2" spans="2:21" ht="49.25" customHeight="1" thickBot="1">
      <c r="B2" s="703" t="s">
        <v>280</v>
      </c>
      <c r="C2" s="704"/>
      <c r="D2" s="704"/>
      <c r="E2" s="704"/>
      <c r="F2" s="704"/>
      <c r="G2" s="704"/>
      <c r="H2" s="704"/>
      <c r="I2" s="704"/>
      <c r="J2" s="705"/>
      <c r="K2" s="425"/>
      <c r="L2" s="426"/>
      <c r="M2" s="426"/>
      <c r="N2" s="426"/>
      <c r="O2" s="426"/>
      <c r="P2" s="426"/>
      <c r="Q2" s="426"/>
      <c r="R2" s="426"/>
      <c r="S2" s="427" t="s">
        <v>264</v>
      </c>
      <c r="T2" s="428"/>
      <c r="U2" s="428"/>
    </row>
    <row r="3" spans="2:21" ht="22" thickBot="1">
      <c r="B3" s="429" t="s">
        <v>90</v>
      </c>
      <c r="C3" s="430">
        <v>2005</v>
      </c>
      <c r="D3" s="430">
        <v>2006</v>
      </c>
      <c r="E3" s="430">
        <v>2007</v>
      </c>
      <c r="F3" s="430">
        <v>2008</v>
      </c>
      <c r="G3" s="430">
        <v>2009</v>
      </c>
      <c r="H3" s="444">
        <v>2010</v>
      </c>
      <c r="I3" s="444">
        <v>2011</v>
      </c>
      <c r="J3" s="444">
        <v>2012</v>
      </c>
      <c r="K3" s="444">
        <v>2013</v>
      </c>
      <c r="L3" s="444">
        <v>2014</v>
      </c>
      <c r="M3" s="444">
        <v>2015</v>
      </c>
      <c r="N3" s="444">
        <v>2016</v>
      </c>
      <c r="O3" s="444">
        <v>2017</v>
      </c>
      <c r="P3" s="444">
        <v>2018</v>
      </c>
      <c r="Q3" s="444">
        <v>2019</v>
      </c>
      <c r="R3" s="444">
        <v>2020</v>
      </c>
      <c r="S3" s="444">
        <v>2021</v>
      </c>
      <c r="T3" s="445">
        <v>2022</v>
      </c>
      <c r="U3" s="445">
        <v>2023</v>
      </c>
    </row>
    <row r="4" spans="2:21" ht="16">
      <c r="B4" s="431" t="s">
        <v>1</v>
      </c>
      <c r="C4" s="706" t="s">
        <v>99</v>
      </c>
      <c r="D4" s="706"/>
      <c r="E4" s="432"/>
      <c r="F4" s="432"/>
      <c r="G4" s="432"/>
      <c r="H4" s="299">
        <f>(Water!H4/Enrollment!H4)*1000</f>
        <v>449.43820224719099</v>
      </c>
      <c r="I4" s="299">
        <f>(Water!I4/Enrollment!I4)*1000</f>
        <v>493.28859060402687</v>
      </c>
      <c r="J4" s="299">
        <f>(Water!J4/Enrollment!J4)*1000</f>
        <v>677.7546777546778</v>
      </c>
      <c r="K4" s="299">
        <f>(Water!K4/Enrollment!K4)*1000</f>
        <v>660.82317073170725</v>
      </c>
      <c r="L4" s="299">
        <f>(Water!L4/Enrollment!L4)*1000</f>
        <v>1243.2671081677704</v>
      </c>
      <c r="M4" s="299">
        <f>(Water!M4/Enrollment!M4)*1000</f>
        <v>837.47572815533988</v>
      </c>
      <c r="N4" s="299">
        <f>(Water!N4/Enrollment!N4)*1000</f>
        <v>896.76025917926563</v>
      </c>
      <c r="O4" s="299">
        <f>(Water!O4/Enrollment!O4)*1000</f>
        <v>987.81038374717832</v>
      </c>
      <c r="P4" s="299">
        <f>(Water!P4/Enrollment!P4)*1000</f>
        <v>940.7494145199064</v>
      </c>
      <c r="Q4" s="299">
        <f>(Water!Q4/Enrollment!Q4)*1000</f>
        <v>887.64568764568764</v>
      </c>
      <c r="R4" s="299">
        <f>(Water!R4/Enrollment!R4)*1000</f>
        <v>757.32009925558305</v>
      </c>
      <c r="S4" s="299">
        <f>(Water!S4/Enrollment!S4)*1000</f>
        <v>1014.9333333333335</v>
      </c>
      <c r="T4" s="299">
        <f>(Water!T4/Enrollment!T4)*1000</f>
        <v>577.30337078651678</v>
      </c>
      <c r="U4" s="549">
        <f>(Water!U4/Enrollment!U4)*1000</f>
        <v>2050.7042253521126</v>
      </c>
    </row>
    <row r="5" spans="2:21" ht="16">
      <c r="B5" s="433" t="s">
        <v>265</v>
      </c>
      <c r="C5" s="434">
        <v>284.10000000000002</v>
      </c>
      <c r="D5" s="434">
        <v>446.8</v>
      </c>
      <c r="E5" s="434">
        <v>425.8</v>
      </c>
      <c r="F5" s="434">
        <v>384.3</v>
      </c>
      <c r="G5" s="434">
        <v>232.2</v>
      </c>
      <c r="H5" s="299">
        <f>(Water!H5/Enrollment!H5)*1000</f>
        <v>718.18181818181824</v>
      </c>
      <c r="I5" s="299">
        <f>(Water!I5/Enrollment!I5)*1000</f>
        <v>762.46056782334381</v>
      </c>
      <c r="J5" s="299">
        <f>(Water!J5/Enrollment!J5)*1000</f>
        <v>725.25252525252529</v>
      </c>
      <c r="K5" s="299">
        <f>(Water!K5/Enrollment!K5)*1000</f>
        <v>706.08108108108104</v>
      </c>
      <c r="L5" s="299">
        <f>(Water!L5/Enrollment!L5)*1000</f>
        <v>635.33123028391174</v>
      </c>
      <c r="M5" s="299">
        <f>(Water!M5/Enrollment!M5)*1000</f>
        <v>665.44850498338872</v>
      </c>
      <c r="N5" s="299">
        <f>(Water!N5/Enrollment!N5)*1000</f>
        <v>720.13651877133111</v>
      </c>
      <c r="O5" s="299">
        <f>(Water!O5/Enrollment!O5)*1000</f>
        <v>695.66666666666663</v>
      </c>
      <c r="P5" s="299">
        <f>(Water!P5/Enrollment!P5)*1000</f>
        <v>729.07348242811497</v>
      </c>
      <c r="Q5" s="299">
        <f>(Water!Q5/Enrollment!Q5)*1000</f>
        <v>792.6910299003323</v>
      </c>
      <c r="R5" s="299">
        <f>(Water!R5/Enrollment!R5)*1000</f>
        <v>563.05084745762713</v>
      </c>
      <c r="S5" s="299">
        <f>(Water!S5/Enrollment!S5)*1000</f>
        <v>1109.7222222222222</v>
      </c>
      <c r="T5" s="299">
        <f>(Water!T5/Enrollment!T5)*1000</f>
        <v>3023.5294117647059</v>
      </c>
      <c r="U5" s="549">
        <f>(Water!U5/Enrollment!U5)*1000</f>
        <v>3378.2991202346043</v>
      </c>
    </row>
    <row r="6" spans="2:21" ht="16">
      <c r="B6" s="433" t="s">
        <v>7</v>
      </c>
      <c r="C6" s="435">
        <v>778.3</v>
      </c>
      <c r="D6" s="435">
        <v>852.8</v>
      </c>
      <c r="E6" s="435">
        <v>347.7</v>
      </c>
      <c r="F6" s="435">
        <v>419.2</v>
      </c>
      <c r="G6" s="435">
        <v>414.3</v>
      </c>
      <c r="H6" s="299">
        <f>(Water!H6/Enrollment!H6)*1000</f>
        <v>971.61458333333337</v>
      </c>
      <c r="I6" s="299">
        <f>(Water!I6/Enrollment!I6)*1000</f>
        <v>1089.6640826873386</v>
      </c>
      <c r="J6" s="299">
        <f>(Water!J6/Enrollment!J6)*1000</f>
        <v>974.67700258397929</v>
      </c>
      <c r="K6" s="299">
        <f>(Water!K6/Enrollment!K6)*1000</f>
        <v>1024.6684350132628</v>
      </c>
      <c r="L6" s="299">
        <f>(Water!L6/Enrollment!L6)*1000</f>
        <v>855.67567567567573</v>
      </c>
      <c r="M6" s="299">
        <f>(Water!M6/Enrollment!M6)*1000</f>
        <v>519.79434447300764</v>
      </c>
      <c r="N6" s="299">
        <f>(Water!N6/Enrollment!N6)*1000</f>
        <v>986.85567010309273</v>
      </c>
      <c r="O6" s="299">
        <f>(Water!O6/Enrollment!O6)*1000</f>
        <v>631.59203980099494</v>
      </c>
      <c r="P6" s="299">
        <f>(Water!P6/Enrollment!P6)*1000</f>
        <v>1487.5634517766498</v>
      </c>
      <c r="Q6" s="299">
        <f>(Water!Q6/Enrollment!Q6)*1000</f>
        <v>1475.1207729468601</v>
      </c>
      <c r="R6" s="299">
        <f>(Water!R6/Enrollment!R6)*1000</f>
        <v>1083.1797235023041</v>
      </c>
      <c r="S6" s="299">
        <f>(Water!S6/Enrollment!S6)*1000</f>
        <v>788.94117647058829</v>
      </c>
      <c r="T6" s="299">
        <f>(Water!T6/Enrollment!T6)*1000</f>
        <v>1212.3655913978496</v>
      </c>
      <c r="U6" s="549">
        <f>(Water!U6/Enrollment!U6)*1000</f>
        <v>1259.9508599508597</v>
      </c>
    </row>
    <row r="7" spans="2:21" ht="16">
      <c r="B7" s="433" t="s">
        <v>9</v>
      </c>
      <c r="C7" s="434">
        <v>535</v>
      </c>
      <c r="D7" s="434">
        <v>416.9</v>
      </c>
      <c r="E7" s="434">
        <v>480.1</v>
      </c>
      <c r="F7" s="434">
        <v>873.6</v>
      </c>
      <c r="G7" s="434">
        <v>934.4</v>
      </c>
      <c r="H7" s="299">
        <f>(Water!H7/Enrollment!H7)*1000</f>
        <v>585.11326860841427</v>
      </c>
      <c r="I7" s="299">
        <f>(Water!I7/Enrollment!I7)*1000</f>
        <v>1159.5959595959596</v>
      </c>
      <c r="J7" s="299">
        <f>(Water!J7/Enrollment!J7)*1000</f>
        <v>732.52595155709344</v>
      </c>
      <c r="K7" s="299">
        <f>(Water!K7/Enrollment!K7)*1000</f>
        <v>776.87074829931976</v>
      </c>
      <c r="L7" s="299">
        <f>(Water!L7/Enrollment!L7)*1000</f>
        <v>586.15916955017303</v>
      </c>
      <c r="M7" s="299">
        <f>(Water!M7/Enrollment!M7)*1000</f>
        <v>651.53374233128841</v>
      </c>
      <c r="N7" s="299">
        <f>(Water!N7/Enrollment!N7)*1000</f>
        <v>558.30903790087461</v>
      </c>
      <c r="O7" s="299">
        <f>(Water!O7/Enrollment!O7)*1000</f>
        <v>623.51190476190482</v>
      </c>
      <c r="P7" s="299">
        <f>(Water!P7/Enrollment!P7)*1000</f>
        <v>529.76190476190482</v>
      </c>
      <c r="Q7" s="299">
        <f>(Water!Q7/Enrollment!Q7)*1000</f>
        <v>383.47578347578349</v>
      </c>
      <c r="R7" s="299">
        <f>(Water!R7/Enrollment!R7)*1000</f>
        <v>25.490196078431371</v>
      </c>
      <c r="S7" s="299">
        <f>(Water!S7/Enrollment!S7)*1000</f>
        <v>3.9156626506024099</v>
      </c>
      <c r="T7" s="299">
        <f>(Water!T7/Enrollment!T7)*1000</f>
        <v>7.7966101694915251</v>
      </c>
      <c r="U7" s="549">
        <f>(Water!U7/Enrollment!U7)*1000</f>
        <v>117.34693877551021</v>
      </c>
    </row>
    <row r="8" spans="2:21" ht="16">
      <c r="B8" s="433" t="s">
        <v>11</v>
      </c>
      <c r="C8" s="435">
        <v>1123.4000000000001</v>
      </c>
      <c r="D8" s="435">
        <v>1097.2</v>
      </c>
      <c r="E8" s="435">
        <v>621.1</v>
      </c>
      <c r="F8" s="435">
        <v>726.9</v>
      </c>
      <c r="G8" s="435">
        <v>568.29999999999995</v>
      </c>
      <c r="H8" s="299">
        <f>(Water!H8/Enrollment!H8)*1000</f>
        <v>997.1098265895954</v>
      </c>
      <c r="I8" s="299">
        <f>(Water!I8/Enrollment!I8)*1000</f>
        <v>744.81865284974094</v>
      </c>
      <c r="J8" s="299">
        <f>(Water!J8/Enrollment!J8)*1000</f>
        <v>794.10256410256409</v>
      </c>
      <c r="K8" s="299">
        <f>(Water!K8/Enrollment!K8)*1000</f>
        <v>821.48337595907924</v>
      </c>
      <c r="L8" s="299">
        <f>(Water!L8/Enrollment!L8)*1000</f>
        <v>714.64788732394356</v>
      </c>
      <c r="M8" s="299">
        <f>(Water!M8/Enrollment!M8)*1000</f>
        <v>735.27777777777771</v>
      </c>
      <c r="N8" s="299">
        <f>(Water!N8/Enrollment!N8)*1000</f>
        <v>718.10584958217271</v>
      </c>
      <c r="O8" s="299">
        <f>(Water!O8/Enrollment!O8)*1000</f>
        <v>1098.8919667590028</v>
      </c>
      <c r="P8" s="299">
        <f>(Water!P8/Enrollment!P8)*1000</f>
        <v>866.12466124661262</v>
      </c>
      <c r="Q8" s="299">
        <f>(Water!Q8/Enrollment!Q8)*1000</f>
        <v>1013.4564643799473</v>
      </c>
      <c r="R8" s="299">
        <f>(Water!R8/Enrollment!R8)*1000</f>
        <v>885.33007334963327</v>
      </c>
      <c r="S8" s="299">
        <f>(Water!S8/Enrollment!S8)*1000</f>
        <v>699.17808219178085</v>
      </c>
      <c r="T8" s="299">
        <f>(Water!T8/Enrollment!T8)*1000</f>
        <v>927.56598240469214</v>
      </c>
      <c r="U8" s="549">
        <f>(Water!U8/Enrollment!U8)*1000</f>
        <v>1327.4626865671642</v>
      </c>
    </row>
    <row r="9" spans="2:21" ht="16">
      <c r="B9" s="433" t="s">
        <v>13</v>
      </c>
      <c r="C9" s="435">
        <v>307.7</v>
      </c>
      <c r="D9" s="435">
        <v>549.79999999999995</v>
      </c>
      <c r="E9" s="435">
        <v>446.7</v>
      </c>
      <c r="F9" s="435">
        <v>399.4</v>
      </c>
      <c r="G9" s="435">
        <v>227.4</v>
      </c>
      <c r="H9" s="299">
        <f>(Water!H9/Enrollment!H9)*1000</f>
        <v>622.22222222222229</v>
      </c>
      <c r="I9" s="299">
        <f>(Water!I9/Enrollment!I9)*1000</f>
        <v>416.53116531165307</v>
      </c>
      <c r="J9" s="299">
        <f>(Water!J9/Enrollment!J9)*1000</f>
        <v>635.18518518518522</v>
      </c>
      <c r="K9" s="299">
        <f>(Water!K9/Enrollment!K9)*1000</f>
        <v>620.4545454545455</v>
      </c>
      <c r="L9" s="299">
        <f>(Water!L9/Enrollment!L9)*1000</f>
        <v>839.63414634146341</v>
      </c>
      <c r="M9" s="299">
        <f>(Water!M9/Enrollment!M9)*1000</f>
        <v>1038.5852090032156</v>
      </c>
      <c r="N9" s="299">
        <f>(Water!N9/Enrollment!N9)*1000</f>
        <v>975.82781456953637</v>
      </c>
      <c r="O9" s="299">
        <f>(Water!O9/Enrollment!O9)*1000</f>
        <v>937.62057877813504</v>
      </c>
      <c r="P9" s="299">
        <f>(Water!P9/Enrollment!P9)*1000</f>
        <v>809.47712418300659</v>
      </c>
      <c r="Q9" s="299">
        <f>(Water!Q9/Enrollment!Q9)*1000</f>
        <v>855.93220338983053</v>
      </c>
      <c r="R9" s="299">
        <f>(Water!R9/Enrollment!R9)*1000</f>
        <v>1005.2083333333333</v>
      </c>
      <c r="S9" s="299">
        <f>(Water!S9/Enrollment!S9)*1000</f>
        <v>496.94656488549617</v>
      </c>
      <c r="T9" s="299">
        <f>(Water!T9/Enrollment!T9)*1000</f>
        <v>988.88888888888891</v>
      </c>
      <c r="U9" s="549">
        <f>(Water!U9/Enrollment!U9)*1000</f>
        <v>1150.6550218340612</v>
      </c>
    </row>
    <row r="10" spans="2:21" ht="16">
      <c r="B10" s="433" t="s">
        <v>15</v>
      </c>
      <c r="C10" s="434">
        <v>296.60000000000002</v>
      </c>
      <c r="D10" s="434">
        <v>410.2</v>
      </c>
      <c r="E10" s="434">
        <v>928.4</v>
      </c>
      <c r="F10" s="434">
        <v>474.8</v>
      </c>
      <c r="G10" s="434">
        <v>434.2</v>
      </c>
      <c r="H10" s="299">
        <f>(Water!H10/Enrollment!H10)*1000</f>
        <v>804.49172576832154</v>
      </c>
      <c r="I10" s="299">
        <f>(Water!I10/Enrollment!I10)*1000</f>
        <v>856.77570093457939</v>
      </c>
      <c r="J10" s="299">
        <f>(Water!J10/Enrollment!J10)*1000</f>
        <v>938.99521531100481</v>
      </c>
      <c r="K10" s="299">
        <f>(Water!K10/Enrollment!K10)*1000</f>
        <v>1135.3510895883776</v>
      </c>
      <c r="L10" s="299">
        <f>(Water!L10/Enrollment!L10)*1000</f>
        <v>808.21256038647346</v>
      </c>
      <c r="M10" s="299">
        <f>(Water!M10/Enrollment!M10)*1000</f>
        <v>1027.0089285714287</v>
      </c>
      <c r="N10" s="299">
        <f>(Water!N10/Enrollment!N10)*1000</f>
        <v>1024.8936170212767</v>
      </c>
      <c r="O10" s="299">
        <f>(Water!O10/Enrollment!O10)*1000</f>
        <v>909.40170940170947</v>
      </c>
      <c r="P10" s="299">
        <f>(Water!P10/Enrollment!P10)*1000</f>
        <v>1062.5719769673706</v>
      </c>
      <c r="Q10" s="299">
        <f>(Water!Q10/Enrollment!Q10)*1000</f>
        <v>799.81308411214945</v>
      </c>
      <c r="R10" s="299">
        <f>(Water!R10/Enrollment!R10)*1000</f>
        <v>619.53125</v>
      </c>
      <c r="S10" s="299">
        <f>(Water!S10/Enrollment!S10)*1000</f>
        <v>461.96581196581195</v>
      </c>
      <c r="T10" s="299">
        <f>(Water!T10/Enrollment!T10)*1000</f>
        <v>1241.2556053811659</v>
      </c>
      <c r="U10" s="549">
        <f>(Water!U10/Enrollment!U10)*1000</f>
        <v>403.62173038229378</v>
      </c>
    </row>
    <row r="11" spans="2:21" ht="16">
      <c r="B11" s="433" t="s">
        <v>17</v>
      </c>
      <c r="C11" s="435">
        <v>228.9</v>
      </c>
      <c r="D11" s="435">
        <v>98.7</v>
      </c>
      <c r="E11" s="435">
        <v>182.5</v>
      </c>
      <c r="F11" s="435">
        <v>158.6</v>
      </c>
      <c r="G11" s="435">
        <v>304.5</v>
      </c>
      <c r="H11" s="299">
        <f>(Water!H11/Enrollment!H11)*1000</f>
        <v>402.10210210210209</v>
      </c>
      <c r="I11" s="299">
        <f>(Water!I11/Enrollment!I11)*1000</f>
        <v>680.16528925619832</v>
      </c>
      <c r="J11" s="299">
        <f>(Water!J11/Enrollment!J11)*1000</f>
        <v>482.9145728643216</v>
      </c>
      <c r="K11" s="299">
        <f>(Water!K11/Enrollment!K11)*1000</f>
        <v>829.53367875647666</v>
      </c>
      <c r="L11" s="299">
        <f>(Water!L11/Enrollment!L11)*1000</f>
        <v>598.48101265822788</v>
      </c>
      <c r="M11" s="299">
        <f>(Water!M11/Enrollment!M11)*1000</f>
        <v>355.07614213197968</v>
      </c>
      <c r="N11" s="299">
        <f>(Water!N11/Enrollment!N11)*1000</f>
        <v>167.78042959427205</v>
      </c>
      <c r="O11" s="299">
        <f>(Water!O11/Enrollment!O11)*1000</f>
        <v>184.33179723502306</v>
      </c>
      <c r="P11" s="299">
        <f>(Water!P11/Enrollment!P11)*1000</f>
        <v>186.9047619047619</v>
      </c>
      <c r="Q11" s="299">
        <f>(Water!Q11/Enrollment!Q11)*1000</f>
        <v>189.19540229885058</v>
      </c>
      <c r="R11" s="299">
        <f>(Water!R11/Enrollment!R11)*1000</f>
        <v>95.329087048832264</v>
      </c>
      <c r="S11" s="299">
        <f>(Water!S11/Enrollment!S11)*1000</f>
        <v>200.90293453724607</v>
      </c>
      <c r="T11" s="299">
        <f>(Water!T11/Enrollment!T11)*1000</f>
        <v>505</v>
      </c>
      <c r="U11" s="549">
        <f>(Water!U11/Enrollment!U11)*1000</f>
        <v>384.45475638051039</v>
      </c>
    </row>
    <row r="12" spans="2:21" ht="16">
      <c r="B12" s="433" t="s">
        <v>19</v>
      </c>
      <c r="C12" s="435">
        <v>469.1</v>
      </c>
      <c r="D12" s="435">
        <v>441.1</v>
      </c>
      <c r="E12" s="435">
        <v>447.7</v>
      </c>
      <c r="F12" s="435">
        <v>383.3</v>
      </c>
      <c r="G12" s="435">
        <v>303.10000000000002</v>
      </c>
      <c r="H12" s="299">
        <f>(Water!H12/Enrollment!H12)*1000</f>
        <v>994.19525065963069</v>
      </c>
      <c r="I12" s="299">
        <f>(Water!I12/Enrollment!I12)*1000</f>
        <v>782.79569892473114</v>
      </c>
      <c r="J12" s="299">
        <f>(Water!J12/Enrollment!J12)*1000</f>
        <v>1108.6486486486488</v>
      </c>
      <c r="K12" s="299">
        <f>(Water!K12/Enrollment!K12)*1000</f>
        <v>1422.1917808219177</v>
      </c>
      <c r="L12" s="299">
        <f>(Water!L12/Enrollment!L12)*1000</f>
        <v>1452.0661157024795</v>
      </c>
      <c r="M12" s="299">
        <f>(Water!M12/Enrollment!M12)*1000</f>
        <v>1194.9152542372881</v>
      </c>
      <c r="N12" s="299">
        <f>(Water!N12/Enrollment!N12)*1000</f>
        <v>1225.3687315634218</v>
      </c>
      <c r="O12" s="299">
        <f>(Water!O12/Enrollment!O12)*1000</f>
        <v>960.75581395348843</v>
      </c>
      <c r="P12" s="299">
        <f>(Water!P12/Enrollment!P12)*1000</f>
        <v>857.10144927536226</v>
      </c>
      <c r="Q12" s="299">
        <f>(Water!Q12/Enrollment!Q12)*1000</f>
        <v>952.36593059936899</v>
      </c>
      <c r="R12" s="299">
        <f>(Water!R12/Enrollment!R12)*1000</f>
        <v>640.90909090909088</v>
      </c>
      <c r="S12" s="299">
        <f>(Water!S12/Enrollment!S12)*1000</f>
        <v>671.60883280757105</v>
      </c>
      <c r="T12" s="299">
        <f>(Water!T12/Enrollment!T12)*1000</f>
        <v>1779.0540540540539</v>
      </c>
      <c r="U12" s="549">
        <f>(Water!U12/Enrollment!U12)*1000</f>
        <v>1142.94670846395</v>
      </c>
    </row>
    <row r="13" spans="2:21" ht="16">
      <c r="B13" s="433" t="s">
        <v>21</v>
      </c>
      <c r="C13" s="435"/>
      <c r="D13" s="436"/>
      <c r="E13" s="436"/>
      <c r="F13" s="436"/>
      <c r="G13" s="436"/>
      <c r="H13" s="436" t="s">
        <v>253</v>
      </c>
      <c r="I13" s="436" t="s">
        <v>253</v>
      </c>
      <c r="J13" s="436" t="s">
        <v>253</v>
      </c>
      <c r="K13" s="436" t="s">
        <v>253</v>
      </c>
      <c r="L13" s="436" t="s">
        <v>253</v>
      </c>
      <c r="M13" s="436" t="s">
        <v>253</v>
      </c>
      <c r="N13" s="436" t="s">
        <v>253</v>
      </c>
      <c r="O13" s="436" t="s">
        <v>253</v>
      </c>
      <c r="P13" s="436" t="s">
        <v>253</v>
      </c>
      <c r="Q13" s="436" t="s">
        <v>253</v>
      </c>
      <c r="R13" s="436" t="s">
        <v>253</v>
      </c>
      <c r="S13" s="436" t="s">
        <v>253</v>
      </c>
      <c r="T13" s="437" t="s">
        <v>253</v>
      </c>
      <c r="U13" s="437" t="s">
        <v>253</v>
      </c>
    </row>
    <row r="14" spans="2:21" ht="16">
      <c r="B14" s="433" t="s">
        <v>23</v>
      </c>
      <c r="C14" s="434">
        <v>511.6</v>
      </c>
      <c r="D14" s="434">
        <v>544.6</v>
      </c>
      <c r="E14" s="434">
        <v>315</v>
      </c>
      <c r="F14" s="434">
        <v>255.8</v>
      </c>
      <c r="G14" s="434">
        <v>295</v>
      </c>
      <c r="H14" s="299">
        <f>(Water!H14/Enrollment!H14)*1000</f>
        <v>907.16417910447751</v>
      </c>
      <c r="I14" s="299">
        <f>(Water!I14/Enrollment!I14)*1000</f>
        <v>735.93314763231194</v>
      </c>
      <c r="J14" s="299">
        <f>(Water!J14/Enrollment!J14)*1000</f>
        <v>1192.0765027322404</v>
      </c>
      <c r="K14" s="299">
        <f>(Water!K14/Enrollment!K14)*1000</f>
        <v>1197.9942693409741</v>
      </c>
      <c r="L14" s="299">
        <f>(Water!L14/Enrollment!L14)*1000</f>
        <v>1066.8639053254437</v>
      </c>
      <c r="M14" s="299">
        <f>(Water!M14/Enrollment!M14)*1000</f>
        <v>1803.9274924471301</v>
      </c>
      <c r="N14" s="299">
        <f>(Water!N14/Enrollment!N14)*1000</f>
        <v>1180.1886792452831</v>
      </c>
      <c r="O14" s="299">
        <f>(Water!O14/Enrollment!O14)*1000</f>
        <v>1266.5730337078651</v>
      </c>
      <c r="P14" s="299">
        <f>(Water!P14/Enrollment!P14)*1000</f>
        <v>1582.9059829059831</v>
      </c>
      <c r="Q14" s="299">
        <f>(Water!Q14/Enrollment!Q14)*1000</f>
        <v>1003.3942558746736</v>
      </c>
      <c r="R14" s="299">
        <f>(Water!R14/Enrollment!R14)*1000</f>
        <v>1138.8174807197943</v>
      </c>
      <c r="S14" s="299">
        <f>(Water!S14/Enrollment!S14)*1000</f>
        <v>996.47058823529414</v>
      </c>
      <c r="T14" s="299">
        <f>(Water!T14/Enrollment!T14)*1000</f>
        <v>1354.3589743589746</v>
      </c>
      <c r="U14" s="549">
        <f>(Water!U14/Enrollment!U14)*1000</f>
        <v>1496.524064171123</v>
      </c>
    </row>
    <row r="15" spans="2:21" ht="16">
      <c r="B15" s="433" t="s">
        <v>25</v>
      </c>
      <c r="C15" s="434">
        <v>330.7</v>
      </c>
      <c r="D15" s="434">
        <v>460.5</v>
      </c>
      <c r="E15" s="434">
        <v>458.2</v>
      </c>
      <c r="F15" s="434">
        <v>381</v>
      </c>
      <c r="G15" s="434">
        <v>457.8</v>
      </c>
      <c r="H15" s="299">
        <f>(Water!H15/Enrollment!H15)*1000</f>
        <v>932.69230769230774</v>
      </c>
      <c r="I15" s="299">
        <f>(Water!I15/Enrollment!I15)*1000</f>
        <v>669.71153846153857</v>
      </c>
      <c r="J15" s="299">
        <f>(Water!J15/Enrollment!J15)*1000</f>
        <v>982.42280285035633</v>
      </c>
      <c r="K15" s="299">
        <f>(Water!K15/Enrollment!K15)*1000</f>
        <v>1058.4725536992842</v>
      </c>
      <c r="L15" s="299">
        <f>(Water!L15/Enrollment!L15)*1000</f>
        <v>1141.6040100250625</v>
      </c>
      <c r="M15" s="299">
        <f>(Water!M15/Enrollment!M15)*1000</f>
        <v>1199.2647058823529</v>
      </c>
      <c r="N15" s="299">
        <f>(Water!N15/Enrollment!N15)*1000</f>
        <v>1298.0926430517709</v>
      </c>
      <c r="O15" s="299">
        <f>(Water!O15/Enrollment!O15)*1000</f>
        <v>1330.3303303303305</v>
      </c>
      <c r="P15" s="299">
        <f>(Water!P15/Enrollment!P15)*1000</f>
        <v>1160.4166666666667</v>
      </c>
      <c r="Q15" s="299">
        <f>(Water!Q15/Enrollment!Q15)*1000</f>
        <v>1342.3976608187136</v>
      </c>
      <c r="R15" s="299">
        <f>(Water!R15/Enrollment!R15)*1000</f>
        <v>1144.9035812672178</v>
      </c>
      <c r="S15" s="299">
        <f>(Water!S15/Enrollment!S15)*1000</f>
        <v>687.8531073446328</v>
      </c>
      <c r="T15" s="299">
        <f>(Water!T15/Enrollment!T15)*1000</f>
        <v>1085.4166666666667</v>
      </c>
      <c r="U15" s="549">
        <f>(Water!U15/Enrollment!U15)*1000</f>
        <v>1529.3478260869565</v>
      </c>
    </row>
    <row r="16" spans="2:21" ht="16">
      <c r="B16" s="433" t="s">
        <v>27</v>
      </c>
      <c r="C16" s="434">
        <v>236.3</v>
      </c>
      <c r="D16" s="434">
        <v>484</v>
      </c>
      <c r="E16" s="434">
        <v>479.3</v>
      </c>
      <c r="F16" s="434">
        <v>487.3</v>
      </c>
      <c r="G16" s="434">
        <v>413.2</v>
      </c>
      <c r="H16" s="299">
        <f>(Water!H16/Enrollment!H16)*1000</f>
        <v>655.66265060240971</v>
      </c>
      <c r="I16" s="299">
        <f>(Water!I16/Enrollment!I16)*1000</f>
        <v>627.20588235294122</v>
      </c>
      <c r="J16" s="299">
        <f>(Water!J16/Enrollment!J16)*1000</f>
        <v>671.11650485436894</v>
      </c>
      <c r="K16" s="299">
        <f>(Water!K16/Enrollment!K16)*1000</f>
        <v>699.10313901345285</v>
      </c>
      <c r="L16" s="299">
        <f>(Water!L16/Enrollment!L16)*1000</f>
        <v>711.03603603603608</v>
      </c>
      <c r="M16" s="299">
        <f>(Water!M16/Enrollment!M16)*1000</f>
        <v>743.31065759637193</v>
      </c>
      <c r="N16" s="299">
        <f>(Water!N16/Enrollment!N16)*1000</f>
        <v>732.2981366459627</v>
      </c>
      <c r="O16" s="299">
        <f>(Water!O16/Enrollment!O16)*1000</f>
        <v>749.59514170040484</v>
      </c>
      <c r="P16" s="299">
        <f>(Water!P16/Enrollment!P16)*1000</f>
        <v>849.00793650793651</v>
      </c>
      <c r="Q16" s="299">
        <f>(Water!Q16/Enrollment!Q16)*1000</f>
        <v>973.80497131931168</v>
      </c>
      <c r="R16" s="299">
        <f>(Water!R16/Enrollment!R16)*1000</f>
        <v>750.19157088122608</v>
      </c>
      <c r="S16" s="299">
        <f>(Water!S16/Enrollment!S16)*1000</f>
        <v>330.73770491803276</v>
      </c>
      <c r="T16" s="299">
        <f>(Water!T16/Enrollment!T16)*1000</f>
        <v>1003.3932135728543</v>
      </c>
      <c r="U16" s="549">
        <f>(Water!U16/Enrollment!U16)*1000</f>
        <v>1138.2692307692307</v>
      </c>
    </row>
    <row r="17" spans="2:21" ht="16">
      <c r="B17" s="433" t="s">
        <v>29</v>
      </c>
      <c r="C17" s="435">
        <v>8.8000000000000007</v>
      </c>
      <c r="D17" s="435">
        <v>286.7</v>
      </c>
      <c r="E17" s="435">
        <v>11.1</v>
      </c>
      <c r="F17" s="435">
        <v>354.4</v>
      </c>
      <c r="G17" s="435">
        <v>284.89999999999998</v>
      </c>
      <c r="H17" s="299">
        <f>(Water!H17/Enrollment!H17)*1000</f>
        <v>841.88311688311694</v>
      </c>
      <c r="I17" s="299">
        <f>(Water!I17/Enrollment!I17)*1000</f>
        <v>545.83333333333337</v>
      </c>
      <c r="J17" s="299">
        <f>(Water!J17/Enrollment!J17)*1000</f>
        <v>873.06590257879657</v>
      </c>
      <c r="K17" s="299">
        <f>(Water!K17/Enrollment!K17)*1000</f>
        <v>809.93975903614444</v>
      </c>
      <c r="L17" s="299">
        <f>(Water!L17/Enrollment!L17)*1000</f>
        <v>640.84507042253529</v>
      </c>
      <c r="M17" s="299">
        <f>(Water!M17/Enrollment!M17)*1000</f>
        <v>716.5191740412979</v>
      </c>
      <c r="N17" s="299">
        <f>(Water!N17/Enrollment!N17)*1000</f>
        <v>842.20779220779218</v>
      </c>
      <c r="O17" s="299">
        <f>(Water!O17/Enrollment!O17)*1000</f>
        <v>856.35179153094452</v>
      </c>
      <c r="P17" s="299">
        <f>(Water!P17/Enrollment!P17)*1000</f>
        <v>899.99999999999989</v>
      </c>
      <c r="Q17" s="299">
        <f>(Water!Q17/Enrollment!Q17)*1000</f>
        <v>932.78145695364231</v>
      </c>
      <c r="R17" s="299">
        <f>(Water!R17/Enrollment!R17)*1000</f>
        <v>800.67796610169489</v>
      </c>
      <c r="S17" s="299">
        <f>(Water!S17/Enrollment!S17)*1000</f>
        <v>307.54716981132071</v>
      </c>
      <c r="T17" s="299">
        <f>(Water!T17/Enrollment!T17)*1000</f>
        <v>1237.4531835205992</v>
      </c>
      <c r="U17" s="549">
        <f>(Water!U17/Enrollment!U17)*1000</f>
        <v>1867.9104477611941</v>
      </c>
    </row>
    <row r="18" spans="2:21" ht="16">
      <c r="B18" s="433" t="s">
        <v>31</v>
      </c>
      <c r="C18" s="434">
        <v>471.8</v>
      </c>
      <c r="D18" s="434">
        <v>675.3</v>
      </c>
      <c r="E18" s="434">
        <v>760.5</v>
      </c>
      <c r="F18" s="434">
        <v>469.9</v>
      </c>
      <c r="G18" s="434">
        <v>490.6</v>
      </c>
      <c r="H18" s="299">
        <f>(Water!H18/Enrollment!H18)*1000</f>
        <v>1374.5182012847965</v>
      </c>
      <c r="I18" s="299">
        <f>(Water!I18/Enrollment!I18)*1000</f>
        <v>700</v>
      </c>
      <c r="J18" s="299">
        <f>(Water!J18/Enrollment!J18)*1000</f>
        <v>659.75903614457832</v>
      </c>
      <c r="K18" s="299">
        <f>(Water!K18/Enrollment!K18)*1000</f>
        <v>594.48123620309059</v>
      </c>
      <c r="L18" s="299">
        <f>(Water!L18/Enrollment!L18)*1000</f>
        <v>625.86605080831407</v>
      </c>
      <c r="M18" s="299">
        <f>(Water!M18/Enrollment!M18)*1000</f>
        <v>681.55136268343824</v>
      </c>
      <c r="N18" s="299">
        <f>(Water!N18/Enrollment!N18)*1000</f>
        <v>704.63157894736844</v>
      </c>
      <c r="O18" s="299">
        <f>(Water!O18/Enrollment!O18)*1000</f>
        <v>596.20758483033933</v>
      </c>
      <c r="P18" s="299">
        <f>(Water!P18/Enrollment!P18)*1000</f>
        <v>644.26877470355737</v>
      </c>
      <c r="Q18" s="299">
        <f>(Water!Q18/Enrollment!Q18)*1000</f>
        <v>624.80916030534354</v>
      </c>
      <c r="R18" s="299">
        <f>(Water!R18/Enrollment!R18)*1000</f>
        <v>430.07518796992485</v>
      </c>
      <c r="S18" s="299">
        <f>(Water!S18/Enrollment!S18)*1000</f>
        <v>143.11740890688259</v>
      </c>
      <c r="T18" s="299">
        <f>(Water!T18/Enrollment!T18)*1000</f>
        <v>685.62231759656652</v>
      </c>
      <c r="U18" s="549">
        <f>(Water!U18/Enrollment!U18)*1000</f>
        <v>837.5</v>
      </c>
    </row>
    <row r="19" spans="2:21" ht="16">
      <c r="B19" s="433" t="s">
        <v>33</v>
      </c>
      <c r="C19" s="435">
        <v>679.4</v>
      </c>
      <c r="D19" s="435">
        <v>600.29999999999995</v>
      </c>
      <c r="E19" s="435">
        <v>433.4</v>
      </c>
      <c r="F19" s="435">
        <v>450.2</v>
      </c>
      <c r="G19" s="435">
        <v>527.79999999999995</v>
      </c>
      <c r="H19" s="299">
        <f>(Water!H19/Enrollment!H19)*1000</f>
        <v>824.56647398843927</v>
      </c>
      <c r="I19" s="299">
        <f>(Water!I19/Enrollment!I19)*1000</f>
        <v>1363.6887608069164</v>
      </c>
      <c r="J19" s="299">
        <f>(Water!J19/Enrollment!J19)*1000</f>
        <v>1269.3820224719102</v>
      </c>
      <c r="K19" s="299">
        <f>(Water!K19/Enrollment!K19)*1000</f>
        <v>1014.3712574850299</v>
      </c>
      <c r="L19" s="299">
        <f>(Water!L19/Enrollment!L19)*1000</f>
        <v>1012.9310344827587</v>
      </c>
      <c r="M19" s="299">
        <f>(Water!M19/Enrollment!M19)*1000</f>
        <v>850.89285714285711</v>
      </c>
      <c r="N19" s="299">
        <f>(Water!N19/Enrollment!N19)*1000</f>
        <v>831.44654088050311</v>
      </c>
      <c r="O19" s="299">
        <f>(Water!O19/Enrollment!O19)*1000</f>
        <v>925.531914893617</v>
      </c>
      <c r="P19" s="299">
        <f>(Water!P19/Enrollment!P19)*1000</f>
        <v>764.89028213166148</v>
      </c>
      <c r="Q19" s="299">
        <f>(Water!Q19/Enrollment!Q19)*1000</f>
        <v>763.58208955223881</v>
      </c>
      <c r="R19" s="299">
        <f>(Water!R19/Enrollment!R19)*1000</f>
        <v>564.65753424657532</v>
      </c>
      <c r="S19" s="299">
        <f>(Water!S19/Enrollment!S19)*1000</f>
        <v>295.25222551928783</v>
      </c>
      <c r="T19" s="299">
        <f>(Water!T19/Enrollment!T19)*1000</f>
        <v>1101.1204481792718</v>
      </c>
      <c r="U19" s="549">
        <f>(Water!U19/Enrollment!U19)*1000</f>
        <v>944.11764705882365</v>
      </c>
    </row>
    <row r="20" spans="2:21" ht="16">
      <c r="B20" s="433" t="s">
        <v>74</v>
      </c>
      <c r="C20" s="435">
        <v>1844.7</v>
      </c>
      <c r="D20" s="435">
        <v>555.5</v>
      </c>
      <c r="E20" s="435">
        <v>984</v>
      </c>
      <c r="F20" s="435">
        <v>1534.3</v>
      </c>
      <c r="G20" s="435">
        <v>2034</v>
      </c>
      <c r="H20" s="299">
        <f>(Water!H20/Enrollment!H20)*1000</f>
        <v>3513.141683778234</v>
      </c>
      <c r="I20" s="299">
        <f>(Water!I20/Enrollment!I20)*1000</f>
        <v>2578.443113772455</v>
      </c>
      <c r="J20" s="299">
        <f>(Water!J20/Enrollment!J20)*1000</f>
        <v>5406.7864271457092</v>
      </c>
      <c r="K20" s="299">
        <f>(Water!K20/Enrollment!K20)*1000</f>
        <v>4430.2734375</v>
      </c>
      <c r="L20" s="299">
        <f>(Water!L20/Enrollment!L20)*1000</f>
        <v>3448.1481481481483</v>
      </c>
      <c r="M20" s="299">
        <f>(Water!M20/Enrollment!M20)*1000</f>
        <v>3837.6</v>
      </c>
      <c r="N20" s="299">
        <f>(Water!N20/Enrollment!N20)*1000</f>
        <v>4503.5185185185182</v>
      </c>
      <c r="O20" s="299">
        <f>(Water!O20/Enrollment!O20)*1000</f>
        <v>5230.6818181818189</v>
      </c>
      <c r="P20" s="299">
        <f>(Water!P20/Enrollment!P20)*1000</f>
        <v>4366.9884169884172</v>
      </c>
      <c r="Q20" s="299">
        <f>(Water!Q20/Enrollment!Q20)*1000</f>
        <v>3869.481765834933</v>
      </c>
      <c r="R20" s="299">
        <f>(Water!R20/Enrollment!R20)*1000</f>
        <v>2913.051823416507</v>
      </c>
      <c r="S20" s="299">
        <f>(Water!S20/Enrollment!S20)*1000</f>
        <v>185.79439252336448</v>
      </c>
      <c r="T20" s="299">
        <f>(Water!T20/Enrollment!T20)*1000</f>
        <v>1212.280701754386</v>
      </c>
      <c r="U20" s="549">
        <f>(Water!U20/Enrollment!U20)*1000</f>
        <v>2994.219653179191</v>
      </c>
    </row>
    <row r="21" spans="2:21" ht="16">
      <c r="B21" s="433" t="s">
        <v>36</v>
      </c>
      <c r="C21" s="435">
        <v>266.8</v>
      </c>
      <c r="D21" s="435">
        <v>452.9</v>
      </c>
      <c r="E21" s="435">
        <v>341.4</v>
      </c>
      <c r="F21" s="435">
        <v>323.60000000000002</v>
      </c>
      <c r="G21" s="435">
        <v>205.1</v>
      </c>
      <c r="H21" s="299">
        <f>(Water!H21/Enrollment!H21)*1000</f>
        <v>775.53956834532369</v>
      </c>
      <c r="I21" s="299">
        <f>(Water!I21/Enrollment!I21)*1000</f>
        <v>606.15384615384619</v>
      </c>
      <c r="J21" s="299">
        <f>(Water!J21/Enrollment!J21)*1000</f>
        <v>1111.578947368421</v>
      </c>
      <c r="K21" s="299">
        <f>(Water!K21/Enrollment!K21)*1000</f>
        <v>810.39426523297482</v>
      </c>
      <c r="L21" s="299">
        <f>(Water!L21/Enrollment!L21)*1000</f>
        <v>560.50724637681162</v>
      </c>
      <c r="M21" s="299">
        <f>(Water!M21/Enrollment!M21)*1000</f>
        <v>822.18181818181813</v>
      </c>
      <c r="N21" s="299">
        <f>(Water!N21/Enrollment!N21)*1000</f>
        <v>766.56151419558364</v>
      </c>
      <c r="O21" s="299">
        <f>(Water!O21/Enrollment!O21)*1000</f>
        <v>1617.6308539944905</v>
      </c>
      <c r="P21" s="299">
        <f>(Water!P21/Enrollment!P21)*1000</f>
        <v>765.92039800995019</v>
      </c>
      <c r="Q21" s="299">
        <f>(Water!Q21/Enrollment!Q21)*1000</f>
        <v>1255.7647058823532</v>
      </c>
      <c r="R21" s="299">
        <f>(Water!R21/Enrollment!R21)*1000</f>
        <v>493.95465994962217</v>
      </c>
      <c r="S21" s="299">
        <f>(Water!S21/Enrollment!S21)*1000</f>
        <v>274.02298850574715</v>
      </c>
      <c r="T21" s="299">
        <f>(Water!T21/Enrollment!T21)*1000</f>
        <v>1264.3923240938166</v>
      </c>
      <c r="U21" s="549">
        <f>(Water!U21/Enrollment!U21)*1000</f>
        <v>2020.4326923076926</v>
      </c>
    </row>
    <row r="22" spans="2:21" ht="16">
      <c r="B22" s="433" t="s">
        <v>67</v>
      </c>
      <c r="C22" s="434">
        <v>423.6</v>
      </c>
      <c r="D22" s="434">
        <v>504.4</v>
      </c>
      <c r="E22" s="434">
        <v>533</v>
      </c>
      <c r="F22" s="434">
        <v>576.4</v>
      </c>
      <c r="G22" s="434">
        <v>624.6</v>
      </c>
      <c r="H22" s="299">
        <f>(Water!H22/Enrollment!H22)*1000</f>
        <v>1261.8181818181818</v>
      </c>
      <c r="I22" s="299">
        <f>(Water!I22/Enrollment!I22)*1000</f>
        <v>1053.2818532818533</v>
      </c>
      <c r="J22" s="299">
        <f>(Water!J22/Enrollment!J22)*1000</f>
        <v>1110.7758620689654</v>
      </c>
      <c r="K22" s="299">
        <f>(Water!K22/Enrollment!K22)*1000</f>
        <v>1306.880733944954</v>
      </c>
      <c r="L22" s="299">
        <f>(Water!L22/Enrollment!L22)*1000</f>
        <v>1329.6296296296298</v>
      </c>
      <c r="M22" s="299">
        <f>(Water!M22/Enrollment!M22)*1000</f>
        <v>1157.320099255583</v>
      </c>
      <c r="N22" s="299">
        <f>(Water!N22/Enrollment!N22)*1000</f>
        <v>958.44402277039853</v>
      </c>
      <c r="O22" s="299">
        <f>(Water!O22/Enrollment!O22)*1000</f>
        <v>865.77629382303849</v>
      </c>
      <c r="P22" s="299">
        <f>(Water!P22/Enrollment!P22)*1000</f>
        <v>652.64026402640263</v>
      </c>
      <c r="Q22" s="299">
        <f>(Water!Q22/Enrollment!Q22)*1000</f>
        <v>702.69413629160056</v>
      </c>
      <c r="R22" s="299">
        <f>(Water!R22/Enrollment!R22)*1000</f>
        <v>369.08517350157729</v>
      </c>
      <c r="S22" s="299">
        <f>(Water!S22/Enrollment!S22)*1000</f>
        <v>1044.4444444444446</v>
      </c>
      <c r="T22" s="299">
        <f>(Water!T22/Enrollment!T22)*1000</f>
        <v>1491.8781725888325</v>
      </c>
      <c r="U22" s="549">
        <f>(Water!U22/Enrollment!U22)*1000</f>
        <v>938.32528180354279</v>
      </c>
    </row>
    <row r="23" spans="2:21" ht="16">
      <c r="B23" s="433" t="s">
        <v>39</v>
      </c>
      <c r="C23" s="435">
        <v>386.4</v>
      </c>
      <c r="D23" s="435">
        <v>488.4</v>
      </c>
      <c r="E23" s="435">
        <v>401.1</v>
      </c>
      <c r="F23" s="435">
        <v>390.3</v>
      </c>
      <c r="G23" s="435">
        <v>377.7</v>
      </c>
      <c r="H23" s="299">
        <f>(Water!H23/Enrollment!H23)*1000</f>
        <v>1371.1538461538462</v>
      </c>
      <c r="I23" s="299">
        <f>(Water!I23/Enrollment!I23)*1000</f>
        <v>817.7018633540373</v>
      </c>
      <c r="J23" s="299">
        <f>(Water!J23/Enrollment!J23)*1000</f>
        <v>635.25835866261389</v>
      </c>
      <c r="K23" s="299">
        <f>(Water!K23/Enrollment!K23)*1000</f>
        <v>559.69696969696975</v>
      </c>
      <c r="L23" s="299">
        <f>(Water!L23/Enrollment!L23)*1000</f>
        <v>811.47058823529403</v>
      </c>
      <c r="M23" s="299">
        <f>(Water!M23/Enrollment!M23)*1000</f>
        <v>1146.7065868263473</v>
      </c>
      <c r="N23" s="299">
        <f>(Water!N23/Enrollment!N23)*1000</f>
        <v>1054.0350877192982</v>
      </c>
      <c r="O23" s="299">
        <f>(Water!O23/Enrollment!O23)*1000</f>
        <v>1070.469798657718</v>
      </c>
      <c r="P23" s="299">
        <f>(Water!P23/Enrollment!P23)*1000</f>
        <v>1037.4172185430464</v>
      </c>
      <c r="Q23" s="299">
        <f>(Water!Q23/Enrollment!Q23)*1000</f>
        <v>785.50724637681174</v>
      </c>
      <c r="R23" s="299">
        <f>(Water!R23/Enrollment!R23)*1000</f>
        <v>827.27272727272725</v>
      </c>
      <c r="S23" s="299">
        <f>(Water!S23/Enrollment!S23)*1000</f>
        <v>487.06896551724139</v>
      </c>
      <c r="T23" s="299">
        <f>(Water!T23/Enrollment!T23)*1000</f>
        <v>1388.1818181818182</v>
      </c>
      <c r="U23" s="549">
        <f>(Water!U23/Enrollment!U23)*1000</f>
        <v>1171.4912280701756</v>
      </c>
    </row>
    <row r="24" spans="2:21" ht="16">
      <c r="B24" s="433" t="s">
        <v>41</v>
      </c>
      <c r="C24" s="435">
        <v>176</v>
      </c>
      <c r="D24" s="435">
        <v>287.10000000000002</v>
      </c>
      <c r="E24" s="435">
        <v>290</v>
      </c>
      <c r="F24" s="435">
        <v>328.8</v>
      </c>
      <c r="G24" s="435">
        <v>224.8</v>
      </c>
      <c r="H24" s="299">
        <f>(Water!H24/Enrollment!H24)*1000</f>
        <v>956.38766519823787</v>
      </c>
      <c r="I24" s="299">
        <f>(Water!I24/Enrollment!I24)*1000</f>
        <v>651.58730158730145</v>
      </c>
      <c r="J24" s="299">
        <f>(Water!J24/Enrollment!J24)*1000</f>
        <v>984.43579766536971</v>
      </c>
      <c r="K24" s="299">
        <f>(Water!K24/Enrollment!K24)*1000</f>
        <v>1083.739837398374</v>
      </c>
      <c r="L24" s="299">
        <f>(Water!L24/Enrollment!L24)*1000</f>
        <v>1066.9456066945606</v>
      </c>
      <c r="M24" s="299">
        <f>(Water!M24/Enrollment!M24)*1000</f>
        <v>1016.1290322580645</v>
      </c>
      <c r="N24" s="299">
        <f>(Water!N24/Enrollment!N24)*1000</f>
        <v>1104.9180327868853</v>
      </c>
      <c r="O24" s="299">
        <f>(Water!O24/Enrollment!O24)*1000</f>
        <v>1050.3937007874015</v>
      </c>
      <c r="P24" s="299">
        <f>(Water!P24/Enrollment!P24)*1000</f>
        <v>1078.4313725490194</v>
      </c>
      <c r="Q24" s="299">
        <f>(Water!Q24/Enrollment!Q24)*1000</f>
        <v>847.63636363636363</v>
      </c>
      <c r="R24" s="299">
        <f>(Water!R24/Enrollment!R24)*1000</f>
        <v>434.30656934306575</v>
      </c>
      <c r="S24" s="299">
        <f>(Water!S24/Enrollment!S24)*1000</f>
        <v>902.734375</v>
      </c>
      <c r="T24" s="299">
        <f>(Water!T24/Enrollment!T24)*1000</f>
        <v>1348</v>
      </c>
      <c r="U24" s="549">
        <f>(Water!U24/Enrollment!U24)*1000</f>
        <v>1182.1576763485475</v>
      </c>
    </row>
    <row r="25" spans="2:21" ht="16">
      <c r="B25" s="433" t="s">
        <v>44</v>
      </c>
      <c r="C25" s="435">
        <v>407.4</v>
      </c>
      <c r="D25" s="435">
        <v>502.2</v>
      </c>
      <c r="E25" s="435">
        <v>403.4</v>
      </c>
      <c r="F25" s="435">
        <v>457.6</v>
      </c>
      <c r="G25" s="435">
        <v>455.1</v>
      </c>
      <c r="H25" s="299">
        <f>(Water!H25/Enrollment!H25)*1000</f>
        <v>916.66666666666663</v>
      </c>
      <c r="I25" s="299">
        <f>(Water!I25/Enrollment!I25)*1000</f>
        <v>830.38277511961735</v>
      </c>
      <c r="J25" s="299">
        <f>(Water!J25/Enrollment!J25)*1000</f>
        <v>888.6010362694301</v>
      </c>
      <c r="K25" s="299">
        <f>(Water!K25/Enrollment!K25)*1000</f>
        <v>882.54716981132071</v>
      </c>
      <c r="L25" s="299">
        <f>(Water!L25/Enrollment!L25)*1000</f>
        <v>913.08411214953276</v>
      </c>
      <c r="M25" s="299">
        <f>(Water!M25/Enrollment!M25)*1000</f>
        <v>941.24700239808158</v>
      </c>
      <c r="N25" s="299">
        <f>(Water!N25/Enrollment!N25)*1000</f>
        <v>894.14316702819951</v>
      </c>
      <c r="O25" s="299">
        <f>(Water!O25/Enrollment!O25)*1000</f>
        <v>980.00000000000011</v>
      </c>
      <c r="P25" s="299">
        <f>(Water!P25/Enrollment!P25)*1000</f>
        <v>1008.9249492900607</v>
      </c>
      <c r="Q25" s="299">
        <f>(Water!Q25/Enrollment!Q25)*1000</f>
        <v>1186.4970645792564</v>
      </c>
      <c r="R25" s="299">
        <f>(Water!R25/Enrollment!R25)*1000</f>
        <v>881.52610441767069</v>
      </c>
      <c r="S25" s="299">
        <f>(Water!S25/Enrollment!S25)*1000</f>
        <v>843.39622641509436</v>
      </c>
      <c r="T25" s="299">
        <f>(Water!T25/Enrollment!T25)*1000</f>
        <v>1003.0501089324617</v>
      </c>
      <c r="U25" s="549">
        <f>(Water!U25/Enrollment!U25)*1000</f>
        <v>1068</v>
      </c>
    </row>
    <row r="26" spans="2:21" ht="16">
      <c r="B26" s="433" t="s">
        <v>46</v>
      </c>
      <c r="C26" s="438"/>
      <c r="D26" s="438"/>
      <c r="E26" s="436"/>
      <c r="F26" s="436"/>
      <c r="G26" s="436"/>
      <c r="H26" s="707" t="s">
        <v>97</v>
      </c>
      <c r="I26" s="707"/>
      <c r="J26" s="707"/>
      <c r="K26" s="707"/>
      <c r="L26" s="436"/>
      <c r="M26" s="436"/>
      <c r="N26" s="436"/>
      <c r="O26" s="436"/>
      <c r="P26" s="436"/>
      <c r="Q26" s="436"/>
      <c r="R26" s="436"/>
      <c r="S26" s="436"/>
      <c r="T26" s="437"/>
      <c r="U26" s="437"/>
    </row>
    <row r="27" spans="2:21" ht="16">
      <c r="B27" s="433" t="s">
        <v>49</v>
      </c>
      <c r="C27" s="434">
        <v>2229.9</v>
      </c>
      <c r="D27" s="434">
        <v>1616</v>
      </c>
      <c r="E27" s="434">
        <v>1414.4</v>
      </c>
      <c r="F27" s="434">
        <v>1123.5</v>
      </c>
      <c r="G27" s="434">
        <v>1272</v>
      </c>
      <c r="H27" s="299">
        <f>(Water!H27/Enrollment!H27)*1000</f>
        <v>1175.6533700137552</v>
      </c>
      <c r="I27" s="299">
        <f>(Water!I27/Enrollment!I27)*1000</f>
        <v>1081.25</v>
      </c>
      <c r="J27" s="299">
        <f>(Water!J27/Enrollment!J27)*1000</f>
        <v>857.80423280423281</v>
      </c>
      <c r="K27" s="299">
        <f>(Water!K27/Enrollment!K27)*1000</f>
        <v>1146.1434370771312</v>
      </c>
      <c r="L27" s="299">
        <f>(Water!L27/Enrollment!L27)*1000</f>
        <v>804.79548660084629</v>
      </c>
      <c r="M27" s="299">
        <f>(Water!M27/Enrollment!M27)*1000</f>
        <v>762.166172106825</v>
      </c>
      <c r="N27" s="299">
        <f>(Water!N27/Enrollment!N27)*1000</f>
        <v>1120.807453416149</v>
      </c>
      <c r="O27" s="299">
        <f>(Water!O27/Enrollment!O27)*1000</f>
        <v>896.2209302325582</v>
      </c>
      <c r="P27" s="299">
        <f>(Water!P27/Enrollment!P27)*1000</f>
        <v>1168.0365296803652</v>
      </c>
      <c r="Q27" s="299">
        <f>(Water!Q27/Enrollment!Q27)*1000</f>
        <v>2049.6274217585692</v>
      </c>
      <c r="R27" s="299">
        <f>(Water!R27/Enrollment!R27)*1000</f>
        <v>2139.4658753709195</v>
      </c>
      <c r="S27" s="299">
        <f>(Water!S27/Enrollment!S27)*1000</f>
        <v>928.81355932203394</v>
      </c>
      <c r="T27" s="299">
        <f>(Water!T27/Enrollment!T27)*1000</f>
        <v>1651.4450867052021</v>
      </c>
      <c r="U27" s="549">
        <f>(Water!U27/Enrollment!U27)*1000</f>
        <v>3311.2573099415208</v>
      </c>
    </row>
    <row r="28" spans="2:21" ht="16">
      <c r="B28" s="433" t="s">
        <v>51</v>
      </c>
      <c r="C28" s="435">
        <v>1349.5</v>
      </c>
      <c r="D28" s="435">
        <v>1914.3</v>
      </c>
      <c r="E28" s="435">
        <v>2027.4</v>
      </c>
      <c r="F28" s="435">
        <v>1843.6</v>
      </c>
      <c r="G28" s="435">
        <v>2402.9</v>
      </c>
      <c r="H28" s="299">
        <f>(Water!H28/Enrollment!H28)*1000</f>
        <v>2149.6644295302012</v>
      </c>
      <c r="I28" s="299">
        <f>(Water!I28/Enrollment!I28)*1000</f>
        <v>1460.9710550887023</v>
      </c>
      <c r="J28" s="299">
        <f>(Water!J28/Enrollment!J28)*1000</f>
        <v>2770.9386281588445</v>
      </c>
      <c r="K28" s="299">
        <f>(Water!K28/Enrollment!K28)*1000</f>
        <v>2105.0505050505053</v>
      </c>
      <c r="L28" s="299">
        <f>(Water!L28/Enrollment!L28)*1000</f>
        <v>2285.2444444444445</v>
      </c>
      <c r="M28" s="299">
        <f>(Water!M28/Enrollment!M28)*1000</f>
        <v>1777.4571686203788</v>
      </c>
      <c r="N28" s="299">
        <f>(Water!N28/Enrollment!N28)*1000</f>
        <v>1855.8718861209964</v>
      </c>
      <c r="O28" s="299">
        <f>(Water!O28/Enrollment!O28)*1000</f>
        <v>2377.2039180765805</v>
      </c>
      <c r="P28" s="299">
        <f>(Water!P28/Enrollment!P28)*1000</f>
        <v>2082.0175438596493</v>
      </c>
      <c r="Q28" s="299">
        <f>(Water!Q28/Enrollment!Q28)*1000</f>
        <v>2094.4785276073621</v>
      </c>
      <c r="R28" s="299">
        <f>(Water!R28/Enrollment!R28)*1000</f>
        <v>1568.145519077196</v>
      </c>
      <c r="S28" s="299">
        <f>(Water!S28/Enrollment!S28)*1000</f>
        <v>1115.5945419103311</v>
      </c>
      <c r="T28" s="299">
        <f>(Water!T28/Enrollment!T28)*1000</f>
        <v>3050.3619441571873</v>
      </c>
      <c r="U28" s="549">
        <f>(Water!U29/Enrollment!U28)*1000</f>
        <v>125.50143266475644</v>
      </c>
    </row>
    <row r="29" spans="2:21" ht="16">
      <c r="B29" s="433" t="s">
        <v>53</v>
      </c>
      <c r="C29" s="434">
        <v>527.1</v>
      </c>
      <c r="D29" s="434">
        <v>851</v>
      </c>
      <c r="E29" s="434">
        <v>1209.4000000000001</v>
      </c>
      <c r="F29" s="434">
        <v>928.5</v>
      </c>
      <c r="G29" s="434">
        <v>887.8</v>
      </c>
      <c r="H29" s="299">
        <f>(Water!H29/Enrollment!H29)*1000</f>
        <v>1711.710037174721</v>
      </c>
      <c r="I29" s="299">
        <f>(Water!I29/Enrollment!I29)*1000</f>
        <v>770.15706806282719</v>
      </c>
      <c r="J29" s="299">
        <f>(Water!J29/Enrollment!J29)*1000</f>
        <v>1613.2038834951456</v>
      </c>
      <c r="K29" s="299">
        <f>(Water!K29/Enrollment!K29)*1000</f>
        <v>1589.5049504950496</v>
      </c>
      <c r="L29" s="299">
        <f>(Water!L29/Enrollment!L29)*1000</f>
        <v>836.47540983606552</v>
      </c>
      <c r="M29" s="299">
        <f>(Water!M29/Enrollment!M29)*1000</f>
        <v>1270.0716845878137</v>
      </c>
      <c r="N29" s="299">
        <f>(Water!N29/Enrollment!N29)*1000</f>
        <v>1598.4509466437178</v>
      </c>
      <c r="O29" s="299">
        <f>(Water!O29/Enrollment!O29)*1000</f>
        <v>1711.2651646447139</v>
      </c>
      <c r="P29" s="299">
        <f>(Water!P29/Enrollment!P29)*1000</f>
        <v>1804.3548387096776</v>
      </c>
      <c r="Q29" s="299">
        <f>(Water!Q29/Enrollment!Q29)*1000</f>
        <v>1440.415335463259</v>
      </c>
      <c r="R29" s="299">
        <f>(Water!R29/Enrollment!R29)*1000</f>
        <v>1064.0378548895899</v>
      </c>
      <c r="S29" s="299">
        <f>(Water!S29/Enrollment!S29)*1000</f>
        <v>37.625418060200673</v>
      </c>
      <c r="T29" s="299">
        <f>(Water!T29/Enrollment!T29)*1000</f>
        <v>179.37293729372939</v>
      </c>
      <c r="U29" s="549">
        <f>(Water!U29/Enrollment!U29)*1000</f>
        <v>204.67289719626169</v>
      </c>
    </row>
    <row r="30" spans="2:21" ht="16">
      <c r="B30" s="433" t="s">
        <v>55</v>
      </c>
      <c r="C30" s="435">
        <v>1548.7</v>
      </c>
      <c r="D30" s="435">
        <v>1039.2</v>
      </c>
      <c r="E30" s="435">
        <v>3342.6</v>
      </c>
      <c r="F30" s="435">
        <v>1714.5</v>
      </c>
      <c r="G30" s="435">
        <v>1207.7</v>
      </c>
      <c r="H30" s="299">
        <f>(Water!H30/Enrollment!H30)*1000</f>
        <v>1492.6183844011143</v>
      </c>
      <c r="I30" s="299">
        <f>(Water!I30/Enrollment!I30)*1000</f>
        <v>1479.4801641586869</v>
      </c>
      <c r="J30" s="299">
        <f>(Water!J30/Enrollment!J30)*1000</f>
        <v>1647.8145695364237</v>
      </c>
      <c r="K30" s="299">
        <f>(Water!K30/Enrollment!K30)*1000</f>
        <v>1914.3044619422574</v>
      </c>
      <c r="L30" s="299">
        <f>(Water!L30/Enrollment!L30)*1000</f>
        <v>3860.3381014304291</v>
      </c>
      <c r="M30" s="299">
        <f>(Water!M30/Enrollment!M30)*1000</f>
        <v>2016.9270833333335</v>
      </c>
      <c r="N30" s="299">
        <f>(Water!N30/Enrollment!N30)*1000</f>
        <v>1702.187902187902</v>
      </c>
      <c r="O30" s="299">
        <f>(Water!O30/Enrollment!O30)*1000</f>
        <v>1632.0802005012533</v>
      </c>
      <c r="P30" s="299">
        <f>(Water!P30/Enrollment!P30)*1000</f>
        <v>1815.2061855670104</v>
      </c>
      <c r="Q30" s="299">
        <f>(Water!Q30/Enrollment!Q30)*1000</f>
        <v>2830.8762169680112</v>
      </c>
      <c r="R30" s="299">
        <f>(Water!R30/Enrollment!R30)*1000</f>
        <v>4377.2661870503598</v>
      </c>
      <c r="S30" s="299">
        <f>(Water!S30/Enrollment!S30)*1000</f>
        <v>1156.4655172413793</v>
      </c>
      <c r="T30" s="299">
        <f>(Water!T30/Enrollment!T30)*1000</f>
        <v>2422.0797720797723</v>
      </c>
      <c r="U30" s="549">
        <f>(Water!U30/Enrollment!U30)*1000</f>
        <v>2712.4661246612468</v>
      </c>
    </row>
    <row r="31" spans="2:21" ht="16">
      <c r="B31" s="433" t="s">
        <v>57</v>
      </c>
      <c r="C31" s="435">
        <v>2509.9</v>
      </c>
      <c r="D31" s="435">
        <v>2997.8</v>
      </c>
      <c r="E31" s="435">
        <v>4316.1000000000004</v>
      </c>
      <c r="F31" s="435">
        <v>2080.3000000000002</v>
      </c>
      <c r="G31" s="435">
        <v>1501.4</v>
      </c>
      <c r="H31" s="299">
        <f>(Water!H31/Enrollment!H31)*1000</f>
        <v>1994.0360610263524</v>
      </c>
      <c r="I31" s="299">
        <f>(Water!I31/Enrollment!I31)*1000</f>
        <v>1898.8934993084372</v>
      </c>
      <c r="J31" s="299">
        <f>(Water!J31/Enrollment!J31)*1000</f>
        <v>1774.4884038199182</v>
      </c>
      <c r="K31" s="299">
        <f>(Water!K31/Enrollment!K31)*1000</f>
        <v>1177.1466314398945</v>
      </c>
      <c r="L31" s="299">
        <f>(Water!L31/Enrollment!L31)*1000</f>
        <v>1091.4518317503391</v>
      </c>
      <c r="M31" s="299">
        <f>(Water!M31/Enrollment!M31)*1000</f>
        <v>1254.7425474254744</v>
      </c>
      <c r="N31" s="299">
        <f>(Water!N31/Enrollment!N31)*1000</f>
        <v>1373.6423841059602</v>
      </c>
      <c r="O31" s="299">
        <f>(Water!O31/Enrollment!O31)*1000</f>
        <v>1260.2846054333766</v>
      </c>
      <c r="P31" s="299">
        <f>(Water!P31/Enrollment!P31)*1000</f>
        <v>1341.7312661498709</v>
      </c>
      <c r="Q31" s="299">
        <f>(Water!Q31/Enrollment!Q31)*1000</f>
        <v>1271.4285714285713</v>
      </c>
      <c r="R31" s="299">
        <f>(Water!R31/Enrollment!R31)*1000</f>
        <v>1704.2895442359252</v>
      </c>
      <c r="S31" s="299">
        <f>(Water!S31/Enrollment!S31)*1000</f>
        <v>417.71812080536915</v>
      </c>
      <c r="T31" s="299">
        <f>(Water!T31/Enrollment!T31)*1000</f>
        <v>1455.5886736214604</v>
      </c>
      <c r="U31" s="549">
        <f>(Water!U31/Enrollment!U31)*1000</f>
        <v>1719.4029850746269</v>
      </c>
    </row>
    <row r="32" spans="2:21" ht="16">
      <c r="B32" s="433" t="s">
        <v>68</v>
      </c>
      <c r="C32" s="435">
        <v>380</v>
      </c>
      <c r="D32" s="435">
        <v>236.9</v>
      </c>
      <c r="E32" s="435">
        <v>262</v>
      </c>
      <c r="F32" s="435">
        <v>314</v>
      </c>
      <c r="G32" s="435">
        <v>284.5</v>
      </c>
      <c r="H32" s="299">
        <f>(Water!H32/Enrollment!H32)*1000</f>
        <v>1784.9624060150375</v>
      </c>
      <c r="I32" s="299">
        <f>(Water!I32/Enrollment!I32)*1000</f>
        <v>1692.4242424242425</v>
      </c>
      <c r="J32" s="299">
        <f>(Water!J32/Enrollment!J32)*1000</f>
        <v>1106.2992125984251</v>
      </c>
      <c r="K32" s="299">
        <f>(Water!K32/Enrollment!K32)*1000</f>
        <v>1592.3076923076924</v>
      </c>
      <c r="L32" s="299">
        <f>(Water!L32/Enrollment!L32)*1000</f>
        <v>1742.4528301886792</v>
      </c>
      <c r="M32" s="299">
        <f>(Water!M32/Enrollment!M32)*1000</f>
        <v>2166.0098522167486</v>
      </c>
      <c r="N32" s="299">
        <f>(Water!N32/Enrollment!N32)*1000</f>
        <v>3492</v>
      </c>
      <c r="O32" s="299">
        <f>(Water!O32/Enrollment!O32)*1000</f>
        <v>2718.0645161290327</v>
      </c>
      <c r="P32" s="299">
        <f>(Water!P32/Enrollment!P32)*1000</f>
        <v>2192.9577464788731</v>
      </c>
      <c r="Q32" s="299">
        <f>(Water!Q32/Enrollment!Q32)*1000</f>
        <v>3091.5789473684208</v>
      </c>
      <c r="R32" s="299">
        <f>(Water!R32/Enrollment!R32)*1000</f>
        <v>1098.4042553191489</v>
      </c>
      <c r="S32" s="299">
        <f>(Water!S32/Enrollment!S32)*1000</f>
        <v>2326.7759562841534</v>
      </c>
      <c r="T32" s="299">
        <f>(Water!T32/Enrollment!T32)*1000</f>
        <v>4660.6194690265484</v>
      </c>
      <c r="U32" s="549">
        <f>(Water!U32/Enrollment!U32)*1000</f>
        <v>3592.1182266009851</v>
      </c>
    </row>
    <row r="33" spans="2:21" ht="16">
      <c r="B33" s="433" t="s">
        <v>59</v>
      </c>
      <c r="C33" s="435">
        <v>6726</v>
      </c>
      <c r="D33" s="435">
        <v>6108.3</v>
      </c>
      <c r="E33" s="435">
        <v>4676.8</v>
      </c>
      <c r="F33" s="435">
        <v>7705.3</v>
      </c>
      <c r="G33" s="435">
        <v>8572.5</v>
      </c>
      <c r="H33" s="299">
        <f>(Water!H33/Enrollment!H33)*1000</f>
        <v>3702.6419336706017</v>
      </c>
      <c r="I33" s="299">
        <f>(Water!I33/Enrollment!I33)*1000</f>
        <v>5754.9754299754304</v>
      </c>
      <c r="J33" s="299">
        <f>(Water!J33/Enrollment!J33)*1000</f>
        <v>9789.2144638403988</v>
      </c>
      <c r="K33" s="299">
        <f>(Water!K33/Enrollment!K33)*1000</f>
        <v>3831.9056486654254</v>
      </c>
      <c r="L33" s="299">
        <f>(Water!L33/Enrollment!L33)*1000</f>
        <v>2731.0891089108914</v>
      </c>
      <c r="M33" s="299">
        <f>(Water!M33/Enrollment!M33)*1000</f>
        <v>2419.6547144754318</v>
      </c>
      <c r="N33" s="299">
        <f>(Water!N33/Enrollment!N33)*1000</f>
        <v>3556.3417890520691</v>
      </c>
      <c r="O33" s="299">
        <f>(Water!O33/Enrollment!O33)*1000</f>
        <v>2569.5708712613782</v>
      </c>
      <c r="P33" s="299">
        <f>(Water!P33/Enrollment!P33)*1000</f>
        <v>2716.4720344191765</v>
      </c>
      <c r="Q33" s="299">
        <f>(Water!Q33/Enrollment!Q33)*1000</f>
        <v>1921.2790697674418</v>
      </c>
      <c r="R33" s="299">
        <f>(Water!R33/Enrollment!R33)*1000</f>
        <v>2144.0293937538272</v>
      </c>
      <c r="S33" s="299">
        <f>(Water!S33/Enrollment!S33)*1000</f>
        <v>2392.5788497217072</v>
      </c>
      <c r="T33" s="299">
        <f>(Water!T33/Enrollment!T33)*1000</f>
        <v>4369.0797546012273</v>
      </c>
      <c r="U33" s="549">
        <f>(Water!U33/Enrollment!U33)*1000</f>
        <v>1357.5757575757577</v>
      </c>
    </row>
    <row r="34" spans="2:21" ht="16">
      <c r="B34" s="433" t="s">
        <v>61</v>
      </c>
      <c r="C34" s="435">
        <v>3747.4</v>
      </c>
      <c r="D34" s="435">
        <v>5180.8</v>
      </c>
      <c r="E34" s="435">
        <v>3255.9</v>
      </c>
      <c r="F34" s="435">
        <v>4805.1000000000004</v>
      </c>
      <c r="G34" s="435">
        <v>5751.3</v>
      </c>
      <c r="H34" s="299">
        <f>(Water!H34/Enrollment!H34)*1000</f>
        <v>1712.0758043190831</v>
      </c>
      <c r="I34" s="299">
        <f>(Water!I34/Enrollment!I34)*1000</f>
        <v>4056.0209424083773</v>
      </c>
      <c r="J34" s="299">
        <f>(Water!J34/Enrollment!J34)*1000</f>
        <v>6390.4320987654319</v>
      </c>
      <c r="K34" s="299">
        <f>(Water!K34/Enrollment!K34)*1000</f>
        <v>3091.8837068443368</v>
      </c>
      <c r="L34" s="299">
        <f>(Water!L34/Enrollment!L34)*1000</f>
        <v>2529.9323909035033</v>
      </c>
      <c r="M34" s="299">
        <f>(Water!M34/Enrollment!M34)*1000</f>
        <v>2870.292887029289</v>
      </c>
      <c r="N34" s="299">
        <f>(Water!N34/Enrollment!N34)*1000</f>
        <v>2187.535734705546</v>
      </c>
      <c r="O34" s="299">
        <f>(Water!O34/Enrollment!O34)*1000</f>
        <v>2323.6619718309857</v>
      </c>
      <c r="P34" s="299">
        <f>(Water!P34/Enrollment!P34)*1000</f>
        <v>3156.4215148188805</v>
      </c>
      <c r="Q34" s="299">
        <f>(Water!Q34/Enrollment!Q34)*1000</f>
        <v>2403.7244897959185</v>
      </c>
      <c r="R34" s="299">
        <f>(Water!R34/Enrollment!R34)*1000</f>
        <v>1825.9240246406571</v>
      </c>
      <c r="S34" s="299">
        <f>(Water!S34/Enrollment!S34)*1000</f>
        <v>646.22496147919878</v>
      </c>
      <c r="T34" s="299">
        <f>(Water!T34/Enrollment!T34)*1000</f>
        <v>715.62998405103667</v>
      </c>
      <c r="U34" s="549">
        <f>(Water!U34/Enrollment!U34)*1000</f>
        <v>1280.2339181286548</v>
      </c>
    </row>
    <row r="35" spans="2:21" ht="16">
      <c r="B35" s="433" t="s">
        <v>95</v>
      </c>
      <c r="C35" s="435">
        <v>748.6</v>
      </c>
      <c r="D35" s="435">
        <v>407.7</v>
      </c>
      <c r="E35" s="435">
        <v>270.89999999999998</v>
      </c>
      <c r="F35" s="435">
        <v>239.4</v>
      </c>
      <c r="G35" s="435">
        <v>414.9</v>
      </c>
      <c r="H35" s="299">
        <f>(Water!H35/Enrollment!H35)*1000</f>
        <v>483.16008316008316</v>
      </c>
      <c r="I35" s="299">
        <f>(Water!I35/Enrollment!I35)*1000</f>
        <v>927.60736196319021</v>
      </c>
      <c r="J35" s="299">
        <f>(Water!J35/Enrollment!J35)*1000</f>
        <v>796.2264150943397</v>
      </c>
      <c r="K35" s="299">
        <f>(Water!K35/Enrollment!K35)*1000</f>
        <v>776.10993657505287</v>
      </c>
      <c r="L35" s="299">
        <f>(Water!L35/Enrollment!L35)*1000</f>
        <v>547.73662551440327</v>
      </c>
      <c r="M35" s="299">
        <f>(Water!M35/Enrollment!M35)*1000</f>
        <v>1345.4926624737943</v>
      </c>
      <c r="N35" s="299">
        <f>(Water!N35/Enrollment!N35)*1000</f>
        <v>1612.3595505617977</v>
      </c>
      <c r="O35" s="299">
        <f>(Water!O35/Enrollment!O35)*1000</f>
        <v>1645.5223880597014</v>
      </c>
      <c r="P35" s="299">
        <f>(Water!P35/Enrollment!P35)*1000</f>
        <v>1190.9774436090227</v>
      </c>
      <c r="Q35" s="299">
        <f>(Water!Q35/Enrollment!Q35)*1000</f>
        <v>1325.2830188679245</v>
      </c>
      <c r="R35" s="299">
        <f>(Water!R35/Enrollment!R35)*1000</f>
        <v>529.08067542213882</v>
      </c>
      <c r="S35" s="299">
        <f>(Water!S35/Enrollment!S35)*1000</f>
        <v>930.72519083969462</v>
      </c>
      <c r="T35" s="299">
        <f>(Water!T35/Enrollment!T35)*1000</f>
        <v>820.2702702702702</v>
      </c>
      <c r="U35" s="549">
        <f>(Water!U35/Enrollment!U35)*1000</f>
        <v>591.73387096774184</v>
      </c>
    </row>
    <row r="36" spans="2:21" ht="16">
      <c r="B36" s="433" t="s">
        <v>65</v>
      </c>
      <c r="C36" s="708" t="s">
        <v>148</v>
      </c>
      <c r="D36" s="708"/>
      <c r="E36" s="708"/>
      <c r="F36" s="708"/>
      <c r="G36" s="434">
        <v>1246.9000000000001</v>
      </c>
      <c r="H36" s="299">
        <f>(Water!H36/Enrollment!H36)*1000</f>
        <v>2352.3041474654378</v>
      </c>
      <c r="I36" s="299">
        <f>(Water!I36/Enrollment!I36)*1000</f>
        <v>1651.7915309446255</v>
      </c>
      <c r="J36" s="299">
        <f>(Water!J36/Enrollment!J36)*1000</f>
        <v>1833.2895600787917</v>
      </c>
      <c r="K36" s="299">
        <f>(Water!K36/Enrollment!K36)*1000</f>
        <v>1583.6109260493006</v>
      </c>
      <c r="L36" s="299">
        <f>(Water!L36/Enrollment!L36)*1000</f>
        <v>1534.5890410958905</v>
      </c>
      <c r="M36" s="299">
        <f>(Water!M36/Enrollment!M36)*1000</f>
        <v>1992.6359256710255</v>
      </c>
      <c r="N36" s="299">
        <f>(Water!N36/Enrollment!N36)*1000</f>
        <v>2295.2283571915473</v>
      </c>
      <c r="O36" s="299">
        <f>(Water!O36/Enrollment!O36)*1000</f>
        <v>2587.516688918558</v>
      </c>
      <c r="P36" s="299">
        <f>(Water!P36/Enrollment!P36)*1000</f>
        <v>2305.1316677920327</v>
      </c>
      <c r="Q36" s="299">
        <f>(Water!Q36/Enrollment!Q36)*1000</f>
        <v>2791.2534435261705</v>
      </c>
      <c r="R36" s="299">
        <f>(Water!R36/Enrollment!R36)*1000</f>
        <v>1662.8673835125446</v>
      </c>
      <c r="S36" s="299">
        <f>(Water!S36/Enrollment!S36)*1000</f>
        <v>2729.72582972583</v>
      </c>
      <c r="T36" s="299">
        <f>(Water!T36/Enrollment!T36)*1000</f>
        <v>1616.1631419939579</v>
      </c>
      <c r="U36" s="549">
        <f>(Water!U36/Enrollment!U36)*1000</f>
        <v>456.88073394495416</v>
      </c>
    </row>
    <row r="37" spans="2:21" ht="16">
      <c r="B37" s="433" t="s">
        <v>5</v>
      </c>
      <c r="C37" s="435">
        <v>159.69999999999999</v>
      </c>
      <c r="D37" s="435">
        <v>278.10000000000002</v>
      </c>
      <c r="E37" s="435">
        <v>255.7</v>
      </c>
      <c r="F37" s="435">
        <v>191.9</v>
      </c>
      <c r="G37" s="435">
        <v>250.9</v>
      </c>
      <c r="H37" s="438" t="s">
        <v>253</v>
      </c>
      <c r="I37" s="438" t="s">
        <v>253</v>
      </c>
      <c r="J37" s="438" t="s">
        <v>253</v>
      </c>
      <c r="K37" s="438" t="s">
        <v>253</v>
      </c>
      <c r="L37" s="438" t="s">
        <v>253</v>
      </c>
      <c r="M37" s="438" t="s">
        <v>253</v>
      </c>
      <c r="N37" s="438" t="s">
        <v>253</v>
      </c>
      <c r="O37" s="438" t="s">
        <v>253</v>
      </c>
      <c r="P37" s="438" t="s">
        <v>253</v>
      </c>
      <c r="Q37" s="438" t="s">
        <v>253</v>
      </c>
      <c r="R37" s="438" t="s">
        <v>253</v>
      </c>
      <c r="S37" s="438" t="s">
        <v>253</v>
      </c>
      <c r="T37" s="439" t="s">
        <v>253</v>
      </c>
      <c r="U37" s="439" t="s">
        <v>253</v>
      </c>
    </row>
    <row r="38" spans="2:21" ht="17" thickBot="1">
      <c r="B38" s="440" t="s">
        <v>48</v>
      </c>
      <c r="C38" s="441">
        <v>239.2</v>
      </c>
      <c r="D38" s="441">
        <v>204.7</v>
      </c>
      <c r="E38" s="441">
        <v>197.9</v>
      </c>
      <c r="F38" s="441">
        <v>195.4</v>
      </c>
      <c r="G38" s="441">
        <v>202.8</v>
      </c>
      <c r="H38" s="442" t="s">
        <v>253</v>
      </c>
      <c r="I38" s="442" t="s">
        <v>253</v>
      </c>
      <c r="J38" s="442" t="s">
        <v>253</v>
      </c>
      <c r="K38" s="442" t="s">
        <v>253</v>
      </c>
      <c r="L38" s="442" t="s">
        <v>253</v>
      </c>
      <c r="M38" s="442" t="s">
        <v>253</v>
      </c>
      <c r="N38" s="442" t="s">
        <v>253</v>
      </c>
      <c r="O38" s="442" t="s">
        <v>253</v>
      </c>
      <c r="P38" s="442" t="s">
        <v>253</v>
      </c>
      <c r="Q38" s="442" t="s">
        <v>253</v>
      </c>
      <c r="R38" s="442" t="s">
        <v>253</v>
      </c>
      <c r="S38" s="442" t="s">
        <v>253</v>
      </c>
      <c r="T38" s="443" t="s">
        <v>253</v>
      </c>
      <c r="U38" s="443" t="s">
        <v>253</v>
      </c>
    </row>
  </sheetData>
  <mergeCells count="4">
    <mergeCell ref="B2:J2"/>
    <mergeCell ref="C4:D4"/>
    <mergeCell ref="H26:K26"/>
    <mergeCell ref="C36:F36"/>
  </mergeCells>
  <conditionalFormatting sqref="H4:U12">
    <cfRule type="colorScale" priority="4">
      <colorScale>
        <cfvo type="min"/>
        <cfvo type="percentile" val="50"/>
        <cfvo type="max"/>
        <color rgb="FF63BE7B"/>
        <color rgb="FFFFEB84"/>
        <color rgb="FFF8696B"/>
      </colorScale>
    </cfRule>
  </conditionalFormatting>
  <conditionalFormatting sqref="H4:U12 H14:U25 H27:U36">
    <cfRule type="colorScale" priority="3">
      <colorScale>
        <cfvo type="min"/>
        <cfvo type="percentile" val="50"/>
        <cfvo type="max"/>
        <color rgb="FF63BE7B"/>
        <color rgb="FFFFEB84"/>
        <color rgb="FFF8696B"/>
      </colorScale>
    </cfRule>
  </conditionalFormatting>
  <conditionalFormatting sqref="H14:U25">
    <cfRule type="colorScale" priority="2">
      <colorScale>
        <cfvo type="min"/>
        <cfvo type="percentile" val="50"/>
        <cfvo type="max"/>
        <color rgb="FF63BE7B"/>
        <color rgb="FFFFEB84"/>
        <color rgb="FFF8696B"/>
      </colorScale>
    </cfRule>
  </conditionalFormatting>
  <conditionalFormatting sqref="H27:U36">
    <cfRule type="colorScale" priority="1">
      <colorScale>
        <cfvo type="min"/>
        <cfvo type="percentile" val="50"/>
        <cfvo type="max"/>
        <color rgb="FF63BE7B"/>
        <color rgb="FFFFEB84"/>
        <color rgb="FFF8696B"/>
      </colorScale>
    </cfRule>
  </conditionalFormatting>
  <pageMargins left="0.7" right="0.7" top="0.75" bottom="0.75" header="0.3" footer="0.3"/>
  <pageSetup scale="57" orientation="landscape"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D0505-FB12-F744-8042-0475EA5501E2}">
  <sheetPr>
    <pageSetUpPr fitToPage="1"/>
  </sheetPr>
  <dimension ref="B1:U38"/>
  <sheetViews>
    <sheetView workbookViewId="0">
      <selection activeCell="U30" sqref="U30"/>
    </sheetView>
  </sheetViews>
  <sheetFormatPr baseColWidth="10" defaultColWidth="11.5" defaultRowHeight="15"/>
  <cols>
    <col min="1" max="1" width="3.5" customWidth="1"/>
    <col min="2" max="2" width="30.6640625" customWidth="1"/>
    <col min="3" max="7" width="0" hidden="1" customWidth="1"/>
    <col min="8" max="21" width="12.1640625" customWidth="1"/>
  </cols>
  <sheetData>
    <row r="1" spans="2:21" ht="16" thickBot="1"/>
    <row r="2" spans="2:21" ht="49" thickBot="1">
      <c r="B2" s="696" t="s">
        <v>285</v>
      </c>
      <c r="C2" s="697"/>
      <c r="D2" s="697"/>
      <c r="E2" s="697"/>
      <c r="F2" s="697"/>
      <c r="G2" s="697"/>
      <c r="H2" s="697"/>
      <c r="I2" s="697"/>
      <c r="J2" s="698"/>
      <c r="K2" s="294"/>
      <c r="L2" s="295"/>
      <c r="M2" s="295"/>
      <c r="N2" s="295"/>
      <c r="O2" s="295"/>
      <c r="P2" s="295"/>
      <c r="Q2" s="295"/>
      <c r="R2" s="295"/>
      <c r="S2" s="252" t="s">
        <v>264</v>
      </c>
      <c r="T2" s="253"/>
      <c r="U2" s="253"/>
    </row>
    <row r="3" spans="2:21" ht="22" thickBot="1">
      <c r="B3" s="301" t="s">
        <v>90</v>
      </c>
      <c r="C3" s="302">
        <v>2005</v>
      </c>
      <c r="D3" s="302">
        <v>2006</v>
      </c>
      <c r="E3" s="302">
        <v>2007</v>
      </c>
      <c r="F3" s="302">
        <v>2008</v>
      </c>
      <c r="G3" s="302">
        <v>2009</v>
      </c>
      <c r="H3" s="303">
        <v>2010</v>
      </c>
      <c r="I3" s="303">
        <v>2011</v>
      </c>
      <c r="J3" s="303">
        <v>2012</v>
      </c>
      <c r="K3" s="303">
        <v>2013</v>
      </c>
      <c r="L3" s="303">
        <v>2014</v>
      </c>
      <c r="M3" s="303">
        <v>2015</v>
      </c>
      <c r="N3" s="303">
        <v>2016</v>
      </c>
      <c r="O3" s="303">
        <v>2017</v>
      </c>
      <c r="P3" s="303">
        <v>2018</v>
      </c>
      <c r="Q3" s="303">
        <v>2019</v>
      </c>
      <c r="R3" s="303">
        <v>2020</v>
      </c>
      <c r="S3" s="303">
        <v>2021</v>
      </c>
      <c r="T3" s="304">
        <v>2022</v>
      </c>
      <c r="U3" s="304">
        <v>2023</v>
      </c>
    </row>
    <row r="4" spans="2:21" ht="16">
      <c r="B4" s="297" t="s">
        <v>1</v>
      </c>
      <c r="C4" s="701" t="s">
        <v>99</v>
      </c>
      <c r="D4" s="701"/>
      <c r="E4" s="298"/>
      <c r="F4" s="298"/>
      <c r="G4" s="298"/>
      <c r="H4" s="422">
        <f>(Water!H4/SF!H4)*1000</f>
        <v>3.4217279726261762</v>
      </c>
      <c r="I4" s="422">
        <f>(Water!I4/SF!I4)*1000</f>
        <v>5.0299401197604796</v>
      </c>
      <c r="J4" s="422">
        <f>(Water!J4/SF!J4)*1000</f>
        <v>5.5774165953806678</v>
      </c>
      <c r="K4" s="422">
        <f>(Water!K4/SF!K4)*1000</f>
        <v>7.4165953806672373</v>
      </c>
      <c r="L4" s="422">
        <f>(Water!L4/SF!L4)*1000</f>
        <v>9.6355859709153133</v>
      </c>
      <c r="M4" s="422">
        <f>(Water!M4/SF!M4)*1000</f>
        <v>7.3789563729683492</v>
      </c>
      <c r="N4" s="422">
        <f>(Water!N4/SF!N4)*1000</f>
        <v>7.1035072711719423</v>
      </c>
      <c r="O4" s="422">
        <f>(Water!O4/SF!O4)*1000</f>
        <v>7.4867408041060735</v>
      </c>
      <c r="P4" s="422">
        <f>(Water!P4/SF!P4)*1000</f>
        <v>6.8725406330196748</v>
      </c>
      <c r="Q4" s="422">
        <f>(Water!Q4/SF!Q4)*1000</f>
        <v>6.5149700598802394</v>
      </c>
      <c r="R4" s="422">
        <f>(Water!R4/SF!R4)*1000</f>
        <v>5.2215568862275452</v>
      </c>
      <c r="S4" s="422">
        <f>(Water!S4/SF!S4)*1000</f>
        <v>6.5115483319076137</v>
      </c>
      <c r="T4" s="422">
        <f>(Water!T4/SF!T4)*1000</f>
        <v>4.3952095808383236</v>
      </c>
      <c r="U4" s="542">
        <f>(Water!U4/SF!U4)*1000</f>
        <v>37.990867579908674</v>
      </c>
    </row>
    <row r="5" spans="2:21" ht="16">
      <c r="B5" s="188" t="s">
        <v>265</v>
      </c>
      <c r="C5" s="186">
        <v>284.10000000000002</v>
      </c>
      <c r="D5" s="186">
        <v>446.8</v>
      </c>
      <c r="E5" s="186">
        <v>425.8</v>
      </c>
      <c r="F5" s="186">
        <v>384.3</v>
      </c>
      <c r="G5" s="186">
        <v>232.2</v>
      </c>
      <c r="H5" s="422">
        <f>(Water!H5/SF!H5)*1000</f>
        <v>4.042452383208567</v>
      </c>
      <c r="I5" s="422">
        <f>(Water!I5/SF!I5)*1000</f>
        <v>4.5806879560314595</v>
      </c>
      <c r="J5" s="422">
        <f>(Water!J5/SF!J5)*1000</f>
        <v>4.0822514924665976</v>
      </c>
      <c r="K5" s="422">
        <f>(Water!K5/SF!K5)*1000</f>
        <v>3.9609589690135505</v>
      </c>
      <c r="L5" s="422">
        <f>(Water!L5/SF!L5)*1000</f>
        <v>3.8169240974130578</v>
      </c>
      <c r="M5" s="422">
        <f>(Water!M5/SF!M5)*1000</f>
        <v>3.7960769449445655</v>
      </c>
      <c r="N5" s="422">
        <f>(Water!N5/SF!N5)*1000</f>
        <v>3.9988628825926282</v>
      </c>
      <c r="O5" s="422">
        <f>(Water!O5/SF!O5)*1000</f>
        <v>3.9552733819766885</v>
      </c>
      <c r="P5" s="422">
        <f>(Water!P5/SF!P5)*1000</f>
        <v>4.32483653937269</v>
      </c>
      <c r="Q5" s="422">
        <f>(Water!Q5/SF!Q5)*1000</f>
        <v>4.5219368899838912</v>
      </c>
      <c r="R5" s="422">
        <f>(Water!R5/SF!R5)*1000</f>
        <v>3.1479200227423481</v>
      </c>
      <c r="S5" s="422">
        <f>(Water!S5/SF!S5)*1000</f>
        <v>6.0570453899365111</v>
      </c>
      <c r="T5" s="422">
        <f>(Water!T5/SF!T5)*1000</f>
        <v>18.50848100066332</v>
      </c>
      <c r="U5" s="542">
        <f>(Water!U5/SF!U5)*1000</f>
        <v>21.832654221548374</v>
      </c>
    </row>
    <row r="6" spans="2:21" ht="16">
      <c r="B6" s="188" t="s">
        <v>7</v>
      </c>
      <c r="C6" s="177">
        <v>778.3</v>
      </c>
      <c r="D6" s="177">
        <v>852.8</v>
      </c>
      <c r="E6" s="177">
        <v>347.7</v>
      </c>
      <c r="F6" s="177">
        <v>419.2</v>
      </c>
      <c r="G6" s="177">
        <v>414.3</v>
      </c>
      <c r="H6" s="422">
        <f>(Water!H6/SF!H6)*1000</f>
        <v>5.7059399278155016</v>
      </c>
      <c r="I6" s="422">
        <f>(Water!I6/SF!I6)*1000</f>
        <v>6.4491955710527922</v>
      </c>
      <c r="J6" s="422">
        <f>(Water!J6/SF!J6)*1000</f>
        <v>5.7686425643849022</v>
      </c>
      <c r="K6" s="422">
        <f>(Water!K6/SF!K6)*1000</f>
        <v>5.9078118309169874</v>
      </c>
      <c r="L6" s="422">
        <f>(Water!L6/SF!L6)*1000</f>
        <v>4.841867009237169</v>
      </c>
      <c r="M6" s="422">
        <f>(Water!M6/SF!M6)*1000</f>
        <v>3.0923105156909521</v>
      </c>
      <c r="N6" s="422">
        <f>(Water!N6/SF!N6)*1000</f>
        <v>5.8558145225423619</v>
      </c>
      <c r="O6" s="422">
        <f>(Water!O6/SF!O6)*1000</f>
        <v>3.8829754695051077</v>
      </c>
      <c r="P6" s="422">
        <f>(Water!P6/SF!P6)*1000</f>
        <v>8.963418364225852</v>
      </c>
      <c r="Q6" s="422">
        <f>(Water!Q6/SF!Q6)*1000</f>
        <v>9.3396341836422589</v>
      </c>
      <c r="R6" s="422">
        <f>(Water!R6/SF!R6)*1000</f>
        <v>7.1893925490915773</v>
      </c>
      <c r="S6" s="422">
        <f>(Water!S6/SF!S6)*1000</f>
        <v>5.1278522052976081</v>
      </c>
      <c r="T6" s="422">
        <f>(Water!T6/SF!T6)*1000</f>
        <v>6.8972900226341221</v>
      </c>
      <c r="U6" s="542">
        <f>(Water!U6/SF!U6)*1000</f>
        <v>7.8424175689728992</v>
      </c>
    </row>
    <row r="7" spans="2:21" ht="16">
      <c r="B7" s="188" t="s">
        <v>9</v>
      </c>
      <c r="C7" s="186">
        <v>535</v>
      </c>
      <c r="D7" s="186">
        <v>416.9</v>
      </c>
      <c r="E7" s="186">
        <v>480.1</v>
      </c>
      <c r="F7" s="186">
        <v>873.6</v>
      </c>
      <c r="G7" s="186">
        <v>934.4</v>
      </c>
      <c r="H7" s="422">
        <f>(Water!H7/SF!H7)*1000</f>
        <v>4.9039817728111101</v>
      </c>
      <c r="I7" s="422">
        <f>(Water!I7/SF!I7)*1000</f>
        <v>9.3414343061733742</v>
      </c>
      <c r="J7" s="422">
        <f>(Water!J7/SF!J7)*1000</f>
        <v>5.7421069762395573</v>
      </c>
      <c r="K7" s="422">
        <f>(Water!K7/SF!K7)*1000</f>
        <v>6.1950743191927966</v>
      </c>
      <c r="L7" s="422">
        <f>(Water!L7/SF!L7)*1000</f>
        <v>4.5947705327112942</v>
      </c>
      <c r="M7" s="422">
        <f>(Water!M7/SF!M7)*1000</f>
        <v>5.7610936313334058</v>
      </c>
      <c r="N7" s="422">
        <f>(Water!N7/SF!N7)*1000</f>
        <v>5.1942063578170767</v>
      </c>
      <c r="O7" s="422">
        <f>(Water!O7/SF!O7)*1000</f>
        <v>5.6824346316588912</v>
      </c>
      <c r="P7" s="422">
        <f>(Water!P7/SF!P7)*1000</f>
        <v>4.8280351524357163</v>
      </c>
      <c r="Q7" s="422">
        <f>(Water!Q7/SF!Q7)*1000</f>
        <v>3.6508625366171206</v>
      </c>
      <c r="R7" s="422">
        <f>(Water!R7/SF!R7)*1000</f>
        <v>0.24682651622002821</v>
      </c>
      <c r="S7" s="422">
        <f>(Water!S7/SF!S7)*1000</f>
        <v>3.5260930888575459E-2</v>
      </c>
      <c r="T7" s="422">
        <f>(Water!T7/SF!T7)*1000</f>
        <v>6.238472387978735E-2</v>
      </c>
      <c r="U7" s="542">
        <f>(Water!U7/SF!U7)*1000</f>
        <v>0.93577085819681016</v>
      </c>
    </row>
    <row r="8" spans="2:21" ht="16">
      <c r="B8" s="188" t="s">
        <v>11</v>
      </c>
      <c r="C8" s="177">
        <v>1123.4000000000001</v>
      </c>
      <c r="D8" s="177">
        <v>1097.2</v>
      </c>
      <c r="E8" s="177">
        <v>621.1</v>
      </c>
      <c r="F8" s="177">
        <v>726.9</v>
      </c>
      <c r="G8" s="177">
        <v>568.29999999999995</v>
      </c>
      <c r="H8" s="422">
        <f>(Water!H8/SF!H8)*1000</f>
        <v>6.498398945187418</v>
      </c>
      <c r="I8" s="422">
        <f>(Water!I8/SF!I8)*1000</f>
        <v>5.415332454322848</v>
      </c>
      <c r="J8" s="422">
        <f>(Water!J8/SF!J8)*1000</f>
        <v>5.8334902994914293</v>
      </c>
      <c r="K8" s="422">
        <f>(Water!K8/SF!K8)*1000</f>
        <v>6.0501035976643438</v>
      </c>
      <c r="L8" s="422">
        <f>(Water!L8/SF!L8)*1000</f>
        <v>4.7786777170841965</v>
      </c>
      <c r="M8" s="422">
        <f>(Water!M8/SF!M8)*1000</f>
        <v>4.9858730457713314</v>
      </c>
      <c r="N8" s="422">
        <f>(Water!N8/SF!N8)*1000</f>
        <v>4.8559050668675834</v>
      </c>
      <c r="O8" s="422">
        <f>(Water!O8/SF!O8)*1000</f>
        <v>7.4722169900169524</v>
      </c>
      <c r="P8" s="422">
        <f>(Water!P8/SF!P8)*1000</f>
        <v>6.0199660953098517</v>
      </c>
      <c r="Q8" s="422">
        <f>(Water!Q8/SF!Q8)*1000</f>
        <v>7.2348841589753254</v>
      </c>
      <c r="R8" s="422">
        <f>(Water!R8/SF!R8)*1000</f>
        <v>6.8204935016010557</v>
      </c>
      <c r="S8" s="422">
        <f>(Water!S8/SF!S8)*1000</f>
        <v>4.8069316255415329</v>
      </c>
      <c r="T8" s="422">
        <f>(Water!T8/SF!T8)*1000</f>
        <v>5.9578074967037109</v>
      </c>
      <c r="U8" s="542">
        <f>(Water!U8/SF!U8)*1000</f>
        <v>8.3763420606517229</v>
      </c>
    </row>
    <row r="9" spans="2:21" ht="16">
      <c r="B9" s="188" t="s">
        <v>13</v>
      </c>
      <c r="C9" s="177">
        <v>307.7</v>
      </c>
      <c r="D9" s="177">
        <v>549.79999999999995</v>
      </c>
      <c r="E9" s="177">
        <v>446.7</v>
      </c>
      <c r="F9" s="177">
        <v>399.4</v>
      </c>
      <c r="G9" s="177">
        <v>227.4</v>
      </c>
      <c r="H9" s="422">
        <f>(Water!H9/SF!H9)*1000</f>
        <v>3.2562466772993091</v>
      </c>
      <c r="I9" s="422">
        <f>(Water!I9/SF!I9)*1000</f>
        <v>2.5534954811270598</v>
      </c>
      <c r="J9" s="422">
        <f>(Water!J9/SF!J9)*1000</f>
        <v>3.9889021796916531</v>
      </c>
      <c r="K9" s="422">
        <f>(Water!K9/SF!K9)*1000</f>
        <v>3.6283891547049443</v>
      </c>
      <c r="L9" s="422">
        <f>(Water!L9/SF!L9)*1000</f>
        <v>4.5753588516746406</v>
      </c>
      <c r="M9" s="422">
        <f>(Water!M9/SF!M9)*1000</f>
        <v>5.3661616161616159</v>
      </c>
      <c r="N9" s="422">
        <f>(Water!N9/SF!N9)*1000</f>
        <v>4.8959994683678891</v>
      </c>
      <c r="O9" s="422">
        <f>(Water!O9/SF!O9)*1000</f>
        <v>4.8444976076555033</v>
      </c>
      <c r="P9" s="422">
        <f>(Water!P9/SF!P9)*1000</f>
        <v>4.1151648059542794</v>
      </c>
      <c r="Q9" s="422">
        <f>(Water!Q9/SF!Q9)*1000</f>
        <v>4.1949096225412017</v>
      </c>
      <c r="R9" s="422">
        <f>(Water!R9/SF!R9)*1000</f>
        <v>4.809609250398724</v>
      </c>
      <c r="S9" s="422">
        <f>(Water!S9/SF!S9)*1000</f>
        <v>2.1630781499202554</v>
      </c>
      <c r="T9" s="422">
        <f>(Water!T9/SF!T9)*1000</f>
        <v>4.2879452418926105</v>
      </c>
      <c r="U9" s="542">
        <f>(Water!U9/SF!U9)*1000</f>
        <v>4.3776581605528975</v>
      </c>
    </row>
    <row r="10" spans="2:21" ht="16">
      <c r="B10" s="188" t="s">
        <v>15</v>
      </c>
      <c r="C10" s="186">
        <v>296.60000000000002</v>
      </c>
      <c r="D10" s="186">
        <v>410.2</v>
      </c>
      <c r="E10" s="186">
        <v>928.4</v>
      </c>
      <c r="F10" s="186">
        <v>474.8</v>
      </c>
      <c r="G10" s="186">
        <v>434.2</v>
      </c>
      <c r="H10" s="422">
        <f>(Water!H10/SF!H10)*1000</f>
        <v>5.5794202518363072</v>
      </c>
      <c r="I10" s="422">
        <f>(Water!I10/SF!I10)*1000</f>
        <v>6.012263903462749</v>
      </c>
      <c r="J10" s="422">
        <f>(Water!J10/SF!J10)*1000</f>
        <v>6.4352701993704091</v>
      </c>
      <c r="K10" s="422">
        <f>(Water!K10/SF!K10)*1000</f>
        <v>7.6878934942287511</v>
      </c>
      <c r="L10" s="422">
        <f>(Water!L10/SF!L10)*1000</f>
        <v>5.485965372507871</v>
      </c>
      <c r="M10" s="422">
        <f>(Water!M10/SF!M10)*1000</f>
        <v>7.5436122770199372</v>
      </c>
      <c r="N10" s="422">
        <f>(Water!N10/SF!N10)*1000</f>
        <v>7.897757082896117</v>
      </c>
      <c r="O10" s="422">
        <f>(Water!O10/SF!O10)*1000</f>
        <v>6.9779643231899264</v>
      </c>
      <c r="P10" s="422">
        <f>(Water!P10/SF!P10)*1000</f>
        <v>8.4100507398292468</v>
      </c>
      <c r="Q10" s="422">
        <f>(Water!Q10/SF!Q10)*1000</f>
        <v>6.5004709385349244</v>
      </c>
      <c r="R10" s="422">
        <f>(Water!R10/SF!R10)*1000</f>
        <v>4.8187646218819307</v>
      </c>
      <c r="S10" s="422">
        <f>(Water!S10/SF!S10)*1000</f>
        <v>3.2844164919636616</v>
      </c>
      <c r="T10" s="422">
        <f>(Water!T10/SF!T10)*1000</f>
        <v>8.4100507398292468</v>
      </c>
      <c r="U10" s="542">
        <f>(Water!U10/SF!U10)*1000</f>
        <v>3.0474280679366816</v>
      </c>
    </row>
    <row r="11" spans="2:21" ht="16">
      <c r="B11" s="188" t="s">
        <v>17</v>
      </c>
      <c r="C11" s="177">
        <v>228.9</v>
      </c>
      <c r="D11" s="177">
        <v>98.7</v>
      </c>
      <c r="E11" s="177">
        <v>182.5</v>
      </c>
      <c r="F11" s="177">
        <v>158.6</v>
      </c>
      <c r="G11" s="177">
        <v>304.5</v>
      </c>
      <c r="H11" s="422">
        <f>(Water!H11/SF!H11)*1000</f>
        <v>2.5485829574221057</v>
      </c>
      <c r="I11" s="422">
        <f>(Water!I11/SF!I11)*1000</f>
        <v>4.6993661851196249</v>
      </c>
      <c r="J11" s="422">
        <f>(Water!J11/SF!J11)*1000</f>
        <v>3.6582348350748966</v>
      </c>
      <c r="K11" s="422">
        <f>(Water!K11/SF!K11)*1000</f>
        <v>6.0945202611393432</v>
      </c>
      <c r="L11" s="422">
        <f>(Water!L11/SF!L11)*1000</f>
        <v>4.4995146462627762</v>
      </c>
      <c r="M11" s="422">
        <f>(Water!M11/SF!M11)*1000</f>
        <v>2.6627838367688765</v>
      </c>
      <c r="N11" s="422">
        <f>(Water!N11/SF!N11)*1000</f>
        <v>1.3380536363463331</v>
      </c>
      <c r="O11" s="422">
        <f>(Water!O11/SF!O11)*1000</f>
        <v>1.5226783912902797</v>
      </c>
      <c r="P11" s="422">
        <f>(Water!P11/SF!P11)*1000</f>
        <v>1.494128171453587</v>
      </c>
      <c r="Q11" s="422">
        <f>(Water!Q11/SF!Q11)*1000</f>
        <v>1.3514179214765429</v>
      </c>
      <c r="R11" s="422">
        <f>(Water!R11/SF!R11)*1000</f>
        <v>0.73728632654066573</v>
      </c>
      <c r="S11" s="422">
        <f>(Water!S11/SF!S11)*1000</f>
        <v>1.4614361483768206</v>
      </c>
      <c r="T11" s="422">
        <f>(Water!T11/SF!T11)*1000</f>
        <v>3.9803609254667567</v>
      </c>
      <c r="U11" s="542">
        <f>(Water!U11/SF!U11)*1000</f>
        <v>2.7208985369217884</v>
      </c>
    </row>
    <row r="12" spans="2:21" ht="16">
      <c r="B12" s="188" t="s">
        <v>19</v>
      </c>
      <c r="C12" s="177">
        <v>469.1</v>
      </c>
      <c r="D12" s="177">
        <v>441.1</v>
      </c>
      <c r="E12" s="177">
        <v>447.7</v>
      </c>
      <c r="F12" s="177">
        <v>383.3</v>
      </c>
      <c r="G12" s="177">
        <v>303.10000000000002</v>
      </c>
      <c r="H12" s="422">
        <f>(Water!H12/SF!H12)*1000</f>
        <v>8.7224241301881982</v>
      </c>
      <c r="I12" s="422">
        <f>(Water!I12/SF!I12)*1000</f>
        <v>6.7408967800180557</v>
      </c>
      <c r="J12" s="422">
        <f>(Water!J12/SF!J12)*1000</f>
        <v>9.4955901756985117</v>
      </c>
      <c r="K12" s="422">
        <f>(Water!K12/SF!K12)*1000</f>
        <v>12.016481863006089</v>
      </c>
      <c r="L12" s="422">
        <f>(Water!L12/SF!L12)*1000</f>
        <v>12.201671334984606</v>
      </c>
      <c r="M12" s="422">
        <f>(Water!M12/SF!M12)*1000</f>
        <v>9.7918933308641414</v>
      </c>
      <c r="N12" s="422">
        <f>(Water!N12/SF!N12)*1000</f>
        <v>9.615963332484549</v>
      </c>
      <c r="O12" s="422">
        <f>(Water!O12/SF!O12)*1000</f>
        <v>7.6506400611125258</v>
      </c>
      <c r="P12" s="422">
        <f>(Water!P12/SF!P12)*1000</f>
        <v>6.845065858005972</v>
      </c>
      <c r="Q12" s="422">
        <f>(Water!Q12/SF!Q12)*1000</f>
        <v>6.9885876987893232</v>
      </c>
      <c r="R12" s="422">
        <f>(Water!R12/SF!R12)*1000</f>
        <v>4.8959466654320707</v>
      </c>
      <c r="S12" s="422">
        <f>(Water!S12/SF!S12)*1000</f>
        <v>4.928354823028311</v>
      </c>
      <c r="T12" s="422">
        <f>(Water!T12/SF!T12)*1000</f>
        <v>12.19009699298595</v>
      </c>
      <c r="U12" s="542">
        <f>(Water!U12/SF!U12)*1000</f>
        <v>8.4400101854209595</v>
      </c>
    </row>
    <row r="13" spans="2:21" ht="16">
      <c r="B13" s="188" t="s">
        <v>21</v>
      </c>
      <c r="C13" s="177"/>
      <c r="D13" s="276"/>
      <c r="E13" s="276"/>
      <c r="F13" s="276"/>
      <c r="G13" s="276"/>
      <c r="H13" s="710" t="s">
        <v>150</v>
      </c>
      <c r="I13" s="711"/>
      <c r="J13" s="712"/>
      <c r="K13" s="423"/>
      <c r="L13" s="423"/>
      <c r="M13" s="423"/>
      <c r="N13" s="423"/>
      <c r="O13" s="423"/>
      <c r="P13" s="423"/>
      <c r="Q13" s="423"/>
      <c r="R13" s="423"/>
      <c r="S13" s="423"/>
      <c r="T13" s="423"/>
      <c r="U13" s="424"/>
    </row>
    <row r="14" spans="2:21" ht="16">
      <c r="B14" s="188" t="s">
        <v>23</v>
      </c>
      <c r="C14" s="186">
        <v>511.6</v>
      </c>
      <c r="D14" s="186">
        <v>544.6</v>
      </c>
      <c r="E14" s="186">
        <v>315</v>
      </c>
      <c r="F14" s="186">
        <v>255.8</v>
      </c>
      <c r="G14" s="186">
        <v>295</v>
      </c>
      <c r="H14" s="422">
        <f>(Water!H14/SF!H14)*1000</f>
        <v>4.8923805077515006</v>
      </c>
      <c r="I14" s="422">
        <f>(Water!I14/SF!I14)*1000</f>
        <v>4.253264001803049</v>
      </c>
      <c r="J14" s="422">
        <f>(Water!J14/SF!J14)*1000</f>
        <v>7.0238421044158601</v>
      </c>
      <c r="K14" s="422">
        <f>(Water!K14/SF!K14)*1000</f>
        <v>6.7308466281372246</v>
      </c>
      <c r="L14" s="422">
        <f>(Water!L14/SF!L14)*1000</f>
        <v>5.8051741069272502</v>
      </c>
      <c r="M14" s="422">
        <f>(Water!M14/SF!M14)*1000</f>
        <v>9.6125054332952331</v>
      </c>
      <c r="N14" s="422">
        <f>(Water!N14/SF!N14)*1000</f>
        <v>6.0418242993061479</v>
      </c>
      <c r="O14" s="422">
        <f>(Water!O14/SF!O14)*1000</f>
        <v>7.2588824315404796</v>
      </c>
      <c r="P14" s="422">
        <f>(Water!P14/SF!P14)*1000</f>
        <v>8.9444113527697731</v>
      </c>
      <c r="Q14" s="422">
        <f>(Water!Q14/SF!Q14)*1000</f>
        <v>6.1867121721911884</v>
      </c>
      <c r="R14" s="422">
        <f>(Water!R14/SF!R14)*1000</f>
        <v>7.1317030764525011</v>
      </c>
      <c r="S14" s="422">
        <f>(Water!S14/SF!S14)*1000</f>
        <v>5.4542234814945987</v>
      </c>
      <c r="T14" s="422">
        <f>(Water!T14/SF!T14)*1000</f>
        <v>8.5033082730975416</v>
      </c>
      <c r="U14" s="542">
        <f>(Water!U14/SF!U14)*1000</f>
        <v>9.0104158281951818</v>
      </c>
    </row>
    <row r="15" spans="2:21" ht="16">
      <c r="B15" s="188" t="s">
        <v>25</v>
      </c>
      <c r="C15" s="186">
        <v>330.7</v>
      </c>
      <c r="D15" s="186">
        <v>460.5</v>
      </c>
      <c r="E15" s="186">
        <v>458.2</v>
      </c>
      <c r="F15" s="186">
        <v>381</v>
      </c>
      <c r="G15" s="186">
        <v>457.8</v>
      </c>
      <c r="H15" s="422">
        <f>(Water!H15/SF!H15)*1000</f>
        <v>6.6859663633857176</v>
      </c>
      <c r="I15" s="422">
        <f>(Water!I15/SF!I15)*1000</f>
        <v>4.8007995588640755</v>
      </c>
      <c r="J15" s="422">
        <f>(Water!J15/SF!J15)*1000</f>
        <v>7.1271022883926118</v>
      </c>
      <c r="K15" s="422">
        <f>(Water!K15/SF!K15)*1000</f>
        <v>7.6423352633030053</v>
      </c>
      <c r="L15" s="422">
        <f>(Water!L15/SF!L15)*1000</f>
        <v>7.8491177281499853</v>
      </c>
      <c r="M15" s="422">
        <f>(Water!M15/SF!M15)*1000</f>
        <v>8.4315550041356495</v>
      </c>
      <c r="N15" s="422">
        <f>(Water!N15/SF!N15)*1000</f>
        <v>8.2092638544251457</v>
      </c>
      <c r="O15" s="422">
        <f>(Water!O15/SF!O15)*1000</f>
        <v>7.6337193272677144</v>
      </c>
      <c r="P15" s="422">
        <f>(Water!P15/SF!P15)*1000</f>
        <v>6.7187069203198231</v>
      </c>
      <c r="Q15" s="422">
        <f>(Water!Q15/SF!Q15)*1000</f>
        <v>7.9111524676040812</v>
      </c>
      <c r="R15" s="422">
        <f>(Water!R15/SF!R15)*1000</f>
        <v>7.1615660325337744</v>
      </c>
      <c r="S15" s="422">
        <f>(Water!S15/SF!S15)*1000</f>
        <v>4.1959608491866556</v>
      </c>
      <c r="T15" s="422">
        <f>(Water!T15/SF!T15)*1000</f>
        <v>6.2844637441411635</v>
      </c>
      <c r="U15" s="542">
        <f>(Water!U15/SF!U15)*1000</f>
        <v>9.6980976013234077</v>
      </c>
    </row>
    <row r="16" spans="2:21" ht="16">
      <c r="B16" s="188" t="s">
        <v>27</v>
      </c>
      <c r="C16" s="186">
        <v>236.3</v>
      </c>
      <c r="D16" s="186">
        <v>484</v>
      </c>
      <c r="E16" s="186">
        <v>479.3</v>
      </c>
      <c r="F16" s="186">
        <v>487.3</v>
      </c>
      <c r="G16" s="186">
        <v>413.2</v>
      </c>
      <c r="H16" s="422">
        <f>(Water!H16/SF!H16)*1000</f>
        <v>5.2126436781609202</v>
      </c>
      <c r="I16" s="422">
        <f>(Water!I16/SF!I16)*1000</f>
        <v>4.902298850574712</v>
      </c>
      <c r="J16" s="422">
        <f>(Water!J16/SF!J16)*1000</f>
        <v>5.2969348659003828</v>
      </c>
      <c r="K16" s="422">
        <f>(Water!K16/SF!K16)*1000</f>
        <v>5.9731800766283527</v>
      </c>
      <c r="L16" s="422">
        <f>(Water!L16/SF!L16)*1000</f>
        <v>6.0478927203065131</v>
      </c>
      <c r="M16" s="422">
        <f>(Water!M16/SF!M16)*1000</f>
        <v>6.2796934865900385</v>
      </c>
      <c r="N16" s="422">
        <f>(Water!N16/SF!N16)*1000</f>
        <v>6.7758620689655169</v>
      </c>
      <c r="O16" s="422">
        <f>(Water!O16/SF!O16)*1000</f>
        <v>7.0938697318007664</v>
      </c>
      <c r="P16" s="422">
        <f>(Water!P16/SF!P16)*1000</f>
        <v>7.5025423431637268</v>
      </c>
      <c r="Q16" s="422">
        <f>(Water!Q16/SF!Q16)*1000</f>
        <v>8.9297611950766207</v>
      </c>
      <c r="R16" s="422">
        <f>(Water!R16/SF!R16)*1000</f>
        <v>6.8660798821755451</v>
      </c>
      <c r="S16" s="422">
        <f>(Water!S16/SF!S16)*1000</f>
        <v>2.8298909422449769</v>
      </c>
      <c r="T16" s="422">
        <f>(Water!T16/SF!T16)*1000</f>
        <v>8.8140407476242242</v>
      </c>
      <c r="U16" s="542">
        <f>(Water!U16/SF!U16)*1000</f>
        <v>10.378020128344497</v>
      </c>
    </row>
    <row r="17" spans="2:21" ht="16">
      <c r="B17" s="188" t="s">
        <v>29</v>
      </c>
      <c r="C17" s="177">
        <v>8.8000000000000007</v>
      </c>
      <c r="D17" s="177">
        <v>286.7</v>
      </c>
      <c r="E17" s="177">
        <v>11.1</v>
      </c>
      <c r="F17" s="177">
        <v>354.4</v>
      </c>
      <c r="G17" s="177">
        <v>284.89999999999998</v>
      </c>
      <c r="H17" s="422">
        <f>(Water!H17/SF!H17)*1000</f>
        <v>6.0941502738019695</v>
      </c>
      <c r="I17" s="422">
        <f>(Water!I17/SF!I17)*1000</f>
        <v>4.3103245669698467</v>
      </c>
      <c r="J17" s="422">
        <f>(Water!J17/SF!J17)*1000</f>
        <v>7.1611553738043199</v>
      </c>
      <c r="K17" s="422">
        <f>(Water!K17/SF!K17)*1000</f>
        <v>6.3197724975910123</v>
      </c>
      <c r="L17" s="422">
        <f>(Water!L17/SF!L17)*1000</f>
        <v>5.3467766575007643</v>
      </c>
      <c r="M17" s="422">
        <f>(Water!M17/SF!M17)*1000</f>
        <v>5.7087123081623545</v>
      </c>
      <c r="N17" s="422">
        <f>(Water!N17/SF!N17)*1000</f>
        <v>6.0965005052997707</v>
      </c>
      <c r="O17" s="422">
        <f>(Water!O17/SF!O17)*1000</f>
        <v>6.1787586077228598</v>
      </c>
      <c r="P17" s="422">
        <f>(Water!P17/SF!P17)*1000</f>
        <v>6.3667771275470626</v>
      </c>
      <c r="Q17" s="422">
        <f>(Water!Q17/SF!Q17)*1000</f>
        <v>6.620602129309737</v>
      </c>
      <c r="R17" s="422">
        <f>(Water!R17/SF!R17)*1000</f>
        <v>5.5512467978095845</v>
      </c>
      <c r="S17" s="422">
        <f>(Water!S17/SF!S17)*1000</f>
        <v>1.9154386707090649</v>
      </c>
      <c r="T17" s="422">
        <f>(Water!T17/SF!T17)*1000</f>
        <v>7.7651648687395705</v>
      </c>
      <c r="U17" s="542">
        <f>(Water!U17/SF!U17)*1000</f>
        <v>11.765258877999482</v>
      </c>
    </row>
    <row r="18" spans="2:21" ht="16">
      <c r="B18" s="188" t="s">
        <v>31</v>
      </c>
      <c r="C18" s="186">
        <v>471.8</v>
      </c>
      <c r="D18" s="186">
        <v>675.3</v>
      </c>
      <c r="E18" s="186">
        <v>760.5</v>
      </c>
      <c r="F18" s="186">
        <v>469.9</v>
      </c>
      <c r="G18" s="186">
        <v>490.6</v>
      </c>
      <c r="H18" s="422">
        <f>(Water!H18/SF!H18)*1000</f>
        <v>10.878001660763612</v>
      </c>
      <c r="I18" s="422">
        <f>(Water!I18/SF!I18)*1000</f>
        <v>4.9941534342218983</v>
      </c>
      <c r="J18" s="422">
        <f>(Water!J18/SF!J18)*1000</f>
        <v>4.639970174041248</v>
      </c>
      <c r="K18" s="422">
        <f>(Water!K18/SF!K18)*1000</f>
        <v>4.5637106204138354</v>
      </c>
      <c r="L18" s="422">
        <f>(Water!L18/SF!L18)*1000</f>
        <v>4.592519785117525</v>
      </c>
      <c r="M18" s="422">
        <f>(Water!M18/SF!M18)*1000</f>
        <v>5.5093290853937544</v>
      </c>
      <c r="N18" s="422">
        <f>(Water!N18/SF!N18)*1000</f>
        <v>5.6720161331322334</v>
      </c>
      <c r="O18" s="422">
        <f>(Water!O18/SF!O18)*1000</f>
        <v>5.0619397041129313</v>
      </c>
      <c r="P18" s="422">
        <f>(Water!P18/SF!P18)*1000</f>
        <v>5.5245809961192363</v>
      </c>
      <c r="Q18" s="422">
        <f>(Water!Q18/SF!Q18)*1000</f>
        <v>5.5483061905810969</v>
      </c>
      <c r="R18" s="422">
        <f>(Water!R18/SF!R18)*1000</f>
        <v>3.8773746377671205</v>
      </c>
      <c r="S18" s="422">
        <f>(Water!S18/SF!S18)*1000</f>
        <v>1.1981223203240183</v>
      </c>
      <c r="T18" s="422">
        <f>(Water!T18/SF!T18)*1000</f>
        <v>5.4144283075463067</v>
      </c>
      <c r="U18" s="542">
        <f>(Water!U18/SF!U18)*1000</f>
        <v>6.244810113711468</v>
      </c>
    </row>
    <row r="19" spans="2:21" ht="16">
      <c r="B19" s="188" t="s">
        <v>33</v>
      </c>
      <c r="C19" s="177">
        <v>679.4</v>
      </c>
      <c r="D19" s="177">
        <v>600.29999999999995</v>
      </c>
      <c r="E19" s="177">
        <v>433.4</v>
      </c>
      <c r="F19" s="177">
        <v>450.2</v>
      </c>
      <c r="G19" s="177">
        <v>527.79999999999995</v>
      </c>
      <c r="H19" s="422">
        <f>(Water!H19/SF!H19)*1000</f>
        <v>4.7573786893446721</v>
      </c>
      <c r="I19" s="422">
        <f>(Water!I19/SF!I19)*1000</f>
        <v>7.8906119726529935</v>
      </c>
      <c r="J19" s="422">
        <f>(Water!J19/SF!J19)*1000</f>
        <v>7.535434383858596</v>
      </c>
      <c r="K19" s="422">
        <f>(Water!K19/SF!K19)*1000</f>
        <v>5.6494914123728535</v>
      </c>
      <c r="L19" s="422">
        <f>(Water!L19/SF!L19)*1000</f>
        <v>5.8779389694847426</v>
      </c>
      <c r="M19" s="422">
        <f>(Water!M19/SF!M19)*1000</f>
        <v>4.7673836918459225</v>
      </c>
      <c r="N19" s="422">
        <f>(Water!N19/SF!N19)*1000</f>
        <v>4.4088711022177751</v>
      </c>
      <c r="O19" s="422">
        <f>(Water!O19/SF!O19)*1000</f>
        <v>5.0775387693846925</v>
      </c>
      <c r="P19" s="422">
        <f>(Water!P19/SF!P19)*1000</f>
        <v>4.068701017175254</v>
      </c>
      <c r="Q19" s="422">
        <f>(Water!Q19/SF!Q19)*1000</f>
        <v>4.2654660663665176</v>
      </c>
      <c r="R19" s="422">
        <f>(Water!R19/SF!R19)*1000</f>
        <v>3.4367183591795896</v>
      </c>
      <c r="S19" s="422">
        <f>(Water!S19/SF!S19)*1000</f>
        <v>1.6591629147907287</v>
      </c>
      <c r="T19" s="422">
        <f>(Water!T19/SF!T19)*1000</f>
        <v>6.554944138736035</v>
      </c>
      <c r="U19" s="542">
        <f>(Water!U19/SF!U19)*1000</f>
        <v>5.887943971985993</v>
      </c>
    </row>
    <row r="20" spans="2:21" ht="16">
      <c r="B20" s="188" t="s">
        <v>74</v>
      </c>
      <c r="C20" s="177">
        <v>1844.7</v>
      </c>
      <c r="D20" s="177">
        <v>555.5</v>
      </c>
      <c r="E20" s="177">
        <v>984</v>
      </c>
      <c r="F20" s="177">
        <v>1534.3</v>
      </c>
      <c r="G20" s="177">
        <v>2034</v>
      </c>
      <c r="H20" s="422">
        <f>(Water!H20/SF!H20)*1000</f>
        <v>19.329364048218906</v>
      </c>
      <c r="I20" s="422">
        <f>(Water!I20/SF!I20)*1000</f>
        <v>14.594466349575768</v>
      </c>
      <c r="J20" s="422">
        <f>(Water!J20/SF!J20)*1000</f>
        <v>30.603414187746434</v>
      </c>
      <c r="K20" s="422">
        <f>(Water!K20/SF!K20)*1000</f>
        <v>25.626744094087876</v>
      </c>
      <c r="L20" s="422">
        <f>(Water!L20/SF!L20)*1000</f>
        <v>19.984635025363506</v>
      </c>
      <c r="M20" s="422">
        <f>(Water!M20/SF!M20)*1000</f>
        <v>21.678171568018257</v>
      </c>
      <c r="N20" s="422">
        <f>(Water!N20/SF!N20)*1000</f>
        <v>27.475060160654369</v>
      </c>
      <c r="O20" s="422">
        <f>(Water!O20/SF!O20)*1000</f>
        <v>31.202196287550983</v>
      </c>
      <c r="P20" s="422">
        <f>(Water!P20/SF!P20)*1000</f>
        <v>25.556697886186207</v>
      </c>
      <c r="Q20" s="422">
        <f>(Water!Q20/SF!Q20)*1000</f>
        <v>22.776315343508863</v>
      </c>
      <c r="R20" s="422">
        <f>(Water!R20/SF!R20)*1000</f>
        <v>17.146633827799306</v>
      </c>
      <c r="S20" s="422">
        <f>(Water!S20/SF!S20)*1000</f>
        <v>1.1229988815202288</v>
      </c>
      <c r="T20" s="422">
        <f>(Water!T20/SF!T20)*1000</f>
        <v>7.0260865635556353</v>
      </c>
      <c r="U20" s="542">
        <f>(Water!U20/SF!U20)*1000</f>
        <v>17.556743077288083</v>
      </c>
    </row>
    <row r="21" spans="2:21" ht="16">
      <c r="B21" s="188" t="s">
        <v>36</v>
      </c>
      <c r="C21" s="177">
        <v>266.8</v>
      </c>
      <c r="D21" s="177">
        <v>452.9</v>
      </c>
      <c r="E21" s="177">
        <v>341.4</v>
      </c>
      <c r="F21" s="177">
        <v>323.60000000000002</v>
      </c>
      <c r="G21" s="177">
        <v>205.1</v>
      </c>
      <c r="H21" s="422">
        <f>(Water!H21/SF!H21)*1000</f>
        <v>3.7899029672338629</v>
      </c>
      <c r="I21" s="422">
        <f>(Water!I21/SF!I21)*1000</f>
        <v>2.7703557868091688</v>
      </c>
      <c r="J21" s="422">
        <f>(Water!J21/SF!J21)*1000</f>
        <v>5.5688370130783289</v>
      </c>
      <c r="K21" s="422">
        <f>(Water!K21/SF!K21)*1000</f>
        <v>3.9744761636900572</v>
      </c>
      <c r="L21" s="422">
        <f>(Water!L21/SF!L21)*1000</f>
        <v>2.7193784277879343</v>
      </c>
      <c r="M21" s="422">
        <f>(Water!M21/SF!M21)*1000</f>
        <v>3.4482758620689653</v>
      </c>
      <c r="N21" s="422">
        <f>(Water!N21/SF!N21)*1000</f>
        <v>3.7060196129268403</v>
      </c>
      <c r="O21" s="422">
        <f>(Water!O21/SF!O21)*1000</f>
        <v>8.9554515090972888</v>
      </c>
      <c r="P21" s="422">
        <f>(Water!P21/SF!P21)*1000</f>
        <v>4.3733931792679286</v>
      </c>
      <c r="Q21" s="422">
        <f>(Water!Q21/SF!Q21)*1000</f>
        <v>6.7760242753577193</v>
      </c>
      <c r="R21" s="422">
        <f>(Water!R21/SF!R21)*1000</f>
        <v>2.4897477241852135</v>
      </c>
      <c r="S21" s="422">
        <f>(Water!S21/SF!S21)*1000</f>
        <v>1.5134009623808133</v>
      </c>
      <c r="T21" s="422">
        <f>(Water!T21/SF!T21)*1000</f>
        <v>7.5289158615085761</v>
      </c>
      <c r="U21" s="542">
        <f>(Water!U21/SF!U21)*1000</f>
        <v>10.671254269136524</v>
      </c>
    </row>
    <row r="22" spans="2:21" ht="16">
      <c r="B22" s="188" t="s">
        <v>67</v>
      </c>
      <c r="C22" s="186">
        <v>423.6</v>
      </c>
      <c r="D22" s="186">
        <v>504.4</v>
      </c>
      <c r="E22" s="186">
        <v>533</v>
      </c>
      <c r="F22" s="186">
        <v>576.4</v>
      </c>
      <c r="G22" s="186">
        <v>624.6</v>
      </c>
      <c r="H22" s="422">
        <f>(Water!H22/SF!H22)*1000</f>
        <v>7.1452104439502513</v>
      </c>
      <c r="I22" s="422">
        <f>(Water!I22/SF!I22)*1000</f>
        <v>5.6173297092496499</v>
      </c>
      <c r="J22" s="422">
        <f>(Water!J22/SF!J22)*1000</f>
        <v>5.3063998023227077</v>
      </c>
      <c r="K22" s="422">
        <f>(Water!K22/SF!K22)*1000</f>
        <v>5.8664854624824967</v>
      </c>
      <c r="L22" s="422">
        <f>(Water!L22/SF!L22)*1000</f>
        <v>3.9403537380832914</v>
      </c>
      <c r="M22" s="422">
        <f>(Water!M22/SF!M22)*1000</f>
        <v>7.3130958354239839</v>
      </c>
      <c r="N22" s="422">
        <f>(Water!N22/SF!N22)*1000</f>
        <v>7.9199071751128951</v>
      </c>
      <c r="O22" s="422">
        <f>(Water!O22/SF!O22)*1000</f>
        <v>8.1315855494229812</v>
      </c>
      <c r="P22" s="422">
        <f>(Water!P22/SF!P22)*1000</f>
        <v>6.2013923733065734</v>
      </c>
      <c r="Q22" s="422">
        <f>(Water!Q22/SF!Q22)*1000</f>
        <v>6.9524586051179122</v>
      </c>
      <c r="R22" s="422">
        <f>(Water!R22/SF!R22)*1000</f>
        <v>3.6690918213748116</v>
      </c>
      <c r="S22" s="422">
        <f>(Water!S22/SF!S22)*1000</f>
        <v>10.317360762669342</v>
      </c>
      <c r="T22" s="422">
        <f>(Water!T22/SF!T22)*1000</f>
        <v>13.824949824385349</v>
      </c>
      <c r="U22" s="542">
        <f>(Water!U22/SF!U22)*1000</f>
        <v>7.0742633757845796</v>
      </c>
    </row>
    <row r="23" spans="2:21" ht="16">
      <c r="B23" s="188" t="s">
        <v>39</v>
      </c>
      <c r="C23" s="177">
        <v>386.4</v>
      </c>
      <c r="D23" s="177">
        <v>488.4</v>
      </c>
      <c r="E23" s="177">
        <v>401.1</v>
      </c>
      <c r="F23" s="177">
        <v>390.3</v>
      </c>
      <c r="G23" s="177">
        <v>377.7</v>
      </c>
      <c r="H23" s="422">
        <f>(Water!H23/SF!H23)*1000</f>
        <v>7.951672862453532</v>
      </c>
      <c r="I23" s="422">
        <f>(Water!I23/SF!I23)*1000</f>
        <v>4.8940520446096656</v>
      </c>
      <c r="J23" s="422">
        <f>(Water!J23/SF!J23)*1000</f>
        <v>3.8847583643122676</v>
      </c>
      <c r="K23" s="422">
        <f>(Water!K23/SF!K23)*1000</f>
        <v>3.4330855018587356</v>
      </c>
      <c r="L23" s="422">
        <f>(Water!L23/SF!L23)*1000</f>
        <v>5.1282527881040885</v>
      </c>
      <c r="M23" s="422">
        <f>(Water!M23/SF!M23)*1000</f>
        <v>7.1189591078066918</v>
      </c>
      <c r="N23" s="422">
        <f>(Water!N23/SF!N23)*1000</f>
        <v>5.5836431226765795</v>
      </c>
      <c r="O23" s="422">
        <f>(Water!O23/SF!O23)*1000</f>
        <v>5.9293680297397762</v>
      </c>
      <c r="P23" s="422">
        <f>(Water!P23/SF!P23)*1000</f>
        <v>5.8234200743494426</v>
      </c>
      <c r="Q23" s="422">
        <f>(Water!Q23/SF!Q23)*1000</f>
        <v>4.029739776951673</v>
      </c>
      <c r="R23" s="422">
        <f>(Water!R23/SF!R23)*1000</f>
        <v>3.8903345724907066</v>
      </c>
      <c r="S23" s="422">
        <f>(Water!S23/SF!S23)*1000</f>
        <v>2.1003717472118959</v>
      </c>
      <c r="T23" s="422">
        <f>(Water!T23/SF!T23)*1000</f>
        <v>5.6765799256505574</v>
      </c>
      <c r="U23" s="542">
        <f>(Water!U23/SF!U23)*1000</f>
        <v>4.9646840148698885</v>
      </c>
    </row>
    <row r="24" spans="2:21" ht="16">
      <c r="B24" s="188" t="s">
        <v>41</v>
      </c>
      <c r="C24" s="177">
        <v>176</v>
      </c>
      <c r="D24" s="177">
        <v>287.10000000000002</v>
      </c>
      <c r="E24" s="177">
        <v>290</v>
      </c>
      <c r="F24" s="177">
        <v>328.8</v>
      </c>
      <c r="G24" s="177">
        <v>224.8</v>
      </c>
      <c r="H24" s="422">
        <f>(Water!H24/SF!H24)*1000</f>
        <v>5.2148639235185321</v>
      </c>
      <c r="I24" s="422">
        <f>(Water!I24/SF!I24)*1000</f>
        <v>3.9441762148399024</v>
      </c>
      <c r="J24" s="422">
        <f>(Water!J24/SF!J24)*1000</f>
        <v>6.077202084984747</v>
      </c>
      <c r="K24" s="422">
        <f>(Water!K24/SF!K24)*1000</f>
        <v>6.4038817227546785</v>
      </c>
      <c r="L24" s="422">
        <f>(Water!L24/SF!L24)*1000</f>
        <v>6.125243208186208</v>
      </c>
      <c r="M24" s="422">
        <f>(Water!M24/SF!M24)*1000</f>
        <v>6.0531815233840174</v>
      </c>
      <c r="N24" s="422">
        <f>(Water!N24/SF!N24)*1000</f>
        <v>6.4759434075568691</v>
      </c>
      <c r="O24" s="422">
        <f>(Water!O24/SF!O24)*1000</f>
        <v>6.4086858350748246</v>
      </c>
      <c r="P24" s="422">
        <f>(Water!P24/SF!P24)*1000</f>
        <v>6.6056544402008122</v>
      </c>
      <c r="Q24" s="422">
        <f>(Water!Q24/SF!Q24)*1000</f>
        <v>5.5991929091302151</v>
      </c>
      <c r="R24" s="422">
        <f>(Water!R24/SF!R24)*1000</f>
        <v>2.8584468304868969</v>
      </c>
      <c r="S24" s="422">
        <f>(Water!S24/SF!S24)*1000</f>
        <v>5.5511517859287549</v>
      </c>
      <c r="T24" s="422">
        <f>(Water!T24/SF!T24)*1000</f>
        <v>8.0949292594460847</v>
      </c>
      <c r="U24" s="542">
        <f>(Water!U24/SF!U24)*1000</f>
        <v>6.8434580000480407</v>
      </c>
    </row>
    <row r="25" spans="2:21" ht="16">
      <c r="B25" s="188" t="s">
        <v>44</v>
      </c>
      <c r="C25" s="177">
        <v>407.4</v>
      </c>
      <c r="D25" s="177">
        <v>502.2</v>
      </c>
      <c r="E25" s="177">
        <v>403.4</v>
      </c>
      <c r="F25" s="177">
        <v>457.6</v>
      </c>
      <c r="G25" s="177">
        <v>455.1</v>
      </c>
      <c r="H25" s="422">
        <f>(Water!H25/SF!H25)*1000</f>
        <v>6.7727039507439715</v>
      </c>
      <c r="I25" s="422">
        <f>(Water!I25/SF!I25)*1000</f>
        <v>5.9363776295536175</v>
      </c>
      <c r="J25" s="422">
        <f>(Water!J25/SF!J25)*1000</f>
        <v>5.8662561997605609</v>
      </c>
      <c r="K25" s="422">
        <f>(Water!K25/SF!K25)*1000</f>
        <v>6.3998631776979646</v>
      </c>
      <c r="L25" s="422">
        <f>(Water!L25/SF!L25)*1000</f>
        <v>6.6837694544210713</v>
      </c>
      <c r="M25" s="422">
        <f>(Water!M25/SF!M25)*1000</f>
        <v>6.7128441936035577</v>
      </c>
      <c r="N25" s="422">
        <f>(Water!N25/SF!N25)*1000</f>
        <v>7.0497691123653148</v>
      </c>
      <c r="O25" s="422">
        <f>(Water!O25/SF!O25)*1000</f>
        <v>7.4585257396955713</v>
      </c>
      <c r="P25" s="422">
        <f>(Water!P25/SF!P25)*1000</f>
        <v>7.8573233918867693</v>
      </c>
      <c r="Q25" s="422">
        <f>(Water!Q25/SF!Q25)*1000</f>
        <v>9.5775938329331467</v>
      </c>
      <c r="R25" s="422">
        <f>(Water!R25/SF!R25)*1000</f>
        <v>6.9347908504991782</v>
      </c>
      <c r="S25" s="422">
        <f>(Water!S25/SF!S25)*1000</f>
        <v>6.3550486541134843</v>
      </c>
      <c r="T25" s="422">
        <f>(Water!T25/SF!T25)*1000</f>
        <v>7.2728421584733978</v>
      </c>
      <c r="U25" s="542">
        <f>(Water!U25/SF!U25)*1000</f>
        <v>8.435485909263237</v>
      </c>
    </row>
    <row r="26" spans="2:21" ht="16">
      <c r="B26" s="188" t="s">
        <v>46</v>
      </c>
      <c r="C26" s="187"/>
      <c r="D26" s="187"/>
      <c r="E26" s="276"/>
      <c r="F26" s="276"/>
      <c r="G26" s="276"/>
      <c r="H26" s="709" t="s">
        <v>97</v>
      </c>
      <c r="I26" s="709"/>
      <c r="J26" s="709"/>
      <c r="K26" s="709"/>
      <c r="L26" s="423"/>
      <c r="M26" s="423"/>
      <c r="N26" s="423"/>
      <c r="O26" s="423"/>
      <c r="P26" s="423"/>
      <c r="Q26" s="423"/>
      <c r="R26" s="423"/>
      <c r="S26" s="423"/>
      <c r="T26" s="423"/>
      <c r="U26" s="424"/>
    </row>
    <row r="27" spans="2:21" ht="16">
      <c r="B27" s="188" t="s">
        <v>49</v>
      </c>
      <c r="C27" s="186">
        <v>2229.9</v>
      </c>
      <c r="D27" s="186">
        <v>1616</v>
      </c>
      <c r="E27" s="186">
        <v>1414.4</v>
      </c>
      <c r="F27" s="186">
        <v>1123.5</v>
      </c>
      <c r="G27" s="186">
        <v>1272</v>
      </c>
      <c r="H27" s="422">
        <f>(Water!H27/SF!H27)*1000</f>
        <v>5.4788461538461544</v>
      </c>
      <c r="I27" s="422">
        <f>(Water!I27/SF!I27)*1000</f>
        <v>4.990384615384615</v>
      </c>
      <c r="J27" s="422">
        <f>(Water!J27/SF!J27)*1000</f>
        <v>4.1570512820512819</v>
      </c>
      <c r="K27" s="422">
        <f>(Water!K27/SF!K27)*1000</f>
        <v>5.4294871794871797</v>
      </c>
      <c r="L27" s="422">
        <f>(Water!L27/SF!L27)*1000</f>
        <v>3.657692307692308</v>
      </c>
      <c r="M27" s="422">
        <f>(Water!M27/SF!M27)*1000</f>
        <v>3.2929487179487182</v>
      </c>
      <c r="N27" s="422">
        <f>(Water!N27/SF!N27)*1000</f>
        <v>4.6269230769230765</v>
      </c>
      <c r="O27" s="422">
        <f>(Water!O27/SF!O27)*1000</f>
        <v>3.9525641025641027</v>
      </c>
      <c r="P27" s="422">
        <f>(Water!P27/SF!P27)*1000</f>
        <v>4.9192307692307695</v>
      </c>
      <c r="Q27" s="422">
        <f>(Water!Q27/SF!Q27)*1000</f>
        <v>8.8160256410256412</v>
      </c>
      <c r="R27" s="422">
        <f>(Water!R27/SF!R27)*1000</f>
        <v>9.2435897435897427</v>
      </c>
      <c r="S27" s="422">
        <f>(Water!S27/SF!S27)*1000</f>
        <v>4.2153846153846155</v>
      </c>
      <c r="T27" s="422">
        <f>(Water!T27/SF!T27)*1000</f>
        <v>7.3256410256410254</v>
      </c>
      <c r="U27" s="542">
        <f>(Water!U27/SF!U27)*1000</f>
        <v>14.518589743589743</v>
      </c>
    </row>
    <row r="28" spans="2:21" ht="16">
      <c r="B28" s="188" t="s">
        <v>51</v>
      </c>
      <c r="C28" s="177">
        <v>1349.5</v>
      </c>
      <c r="D28" s="177">
        <v>1914.3</v>
      </c>
      <c r="E28" s="177">
        <v>2027.4</v>
      </c>
      <c r="F28" s="177">
        <v>1843.6</v>
      </c>
      <c r="G28" s="177">
        <v>2402.9</v>
      </c>
      <c r="H28" s="422">
        <f>(Water!H28/SF!H28)*1000</f>
        <v>9.5555707089218291</v>
      </c>
      <c r="I28" s="422">
        <f>(Water!I28/SF!I28)*1000</f>
        <v>6.6685703083047079</v>
      </c>
      <c r="J28" s="422">
        <f>(Water!J28/SF!J28)*1000</f>
        <v>13.084837068164576</v>
      </c>
      <c r="K28" s="422">
        <f>(Water!K28/SF!K28)*1000</f>
        <v>9.7699434874146576</v>
      </c>
      <c r="L28" s="422">
        <f>(Water!L28/SF!L28)*1000</f>
        <v>10.956878255014107</v>
      </c>
      <c r="M28" s="422">
        <f>(Water!M28/SF!M28)*1000</f>
        <v>8.4010262617308378</v>
      </c>
      <c r="N28" s="422">
        <f>(Water!N28/SF!N28)*1000</f>
        <v>8.8902905752691375</v>
      </c>
      <c r="O28" s="422">
        <f>(Water!O28/SF!O28)*1000</f>
        <v>11.377526231897646</v>
      </c>
      <c r="P28" s="422">
        <f>(Water!P28/SF!P28)*1000</f>
        <v>10.115582301247027</v>
      </c>
      <c r="Q28" s="422">
        <f>(Water!Q28/SF!Q28)*1000</f>
        <v>9.8346488448464591</v>
      </c>
      <c r="R28" s="422">
        <f>(Water!R28/SF!R28)*1000</f>
        <v>7.2728993654268752</v>
      </c>
      <c r="S28" s="422">
        <f>(Water!S28/SF!S28)*1000</f>
        <v>4.7103268339657118</v>
      </c>
      <c r="T28" s="422">
        <f>(Water!T28/SF!T28)*1000</f>
        <v>12.138783035251318</v>
      </c>
      <c r="U28" s="542">
        <f>(Water!U29/SF!U28)*1000</f>
        <v>0.54074519131844712</v>
      </c>
    </row>
    <row r="29" spans="2:21" ht="16">
      <c r="B29" s="188" t="s">
        <v>53</v>
      </c>
      <c r="C29" s="186">
        <v>527.1</v>
      </c>
      <c r="D29" s="186">
        <v>851</v>
      </c>
      <c r="E29" s="186">
        <v>1209.4000000000001</v>
      </c>
      <c r="F29" s="186">
        <v>928.5</v>
      </c>
      <c r="G29" s="186">
        <v>887.8</v>
      </c>
      <c r="H29" s="422">
        <f>(Water!H29/SF!H29)*1000</f>
        <v>5.6580936113739417</v>
      </c>
      <c r="I29" s="422">
        <f>(Water!I29/SF!I29)*1000</f>
        <v>2.7113874586809863</v>
      </c>
      <c r="J29" s="422">
        <f>(Water!J29/SF!J29)*1000</f>
        <v>5.1045109917792049</v>
      </c>
      <c r="K29" s="422">
        <f>(Water!K29/SF!K29)*1000</f>
        <v>4.9318620282873962</v>
      </c>
      <c r="L29" s="422">
        <f>(Water!L29/SF!L29)*1000</f>
        <v>2.5080180390518438</v>
      </c>
      <c r="M29" s="422">
        <f>(Water!M29/SF!M29)*1000</f>
        <v>4.3543174529055415</v>
      </c>
      <c r="N29" s="422">
        <f>(Water!N29/SF!N29)*1000</f>
        <v>5.7060175229481809</v>
      </c>
      <c r="O29" s="422">
        <f>(Water!O29/SF!O29)*1000</f>
        <v>6.0666756780004674</v>
      </c>
      <c r="P29" s="422">
        <f>(Water!P29/SF!P29)*1000</f>
        <v>6.8733948561668248</v>
      </c>
      <c r="Q29" s="422">
        <f>(Water!Q29/SF!Q29)*1000</f>
        <v>5.5401270598065837</v>
      </c>
      <c r="R29" s="422">
        <f>(Water!R29/SF!R29)*1000</f>
        <v>4.1448039420489318</v>
      </c>
      <c r="S29" s="422">
        <f>(Water!S29/SF!S29)*1000</f>
        <v>0.13824205261799727</v>
      </c>
      <c r="T29" s="422">
        <f>(Water!T29/SF!T29)*1000</f>
        <v>0.66786271642561346</v>
      </c>
      <c r="U29" s="542">
        <f>(Water!U29/SF!U29)*1000</f>
        <v>0.80733358728910409</v>
      </c>
    </row>
    <row r="30" spans="2:21" ht="16">
      <c r="B30" s="188" t="s">
        <v>55</v>
      </c>
      <c r="C30" s="177">
        <v>1548.7</v>
      </c>
      <c r="D30" s="177">
        <v>1039.2</v>
      </c>
      <c r="E30" s="177">
        <v>3342.6</v>
      </c>
      <c r="F30" s="177">
        <v>1714.5</v>
      </c>
      <c r="G30" s="177">
        <v>1207.7</v>
      </c>
      <c r="H30" s="422">
        <f>(Water!H30/SF!H30)*1000</f>
        <v>5.6378557525382718</v>
      </c>
      <c r="I30" s="422">
        <f>(Water!I30/SF!I30)*1000</f>
        <v>5.6894102793413648</v>
      </c>
      <c r="J30" s="422">
        <f>(Water!J30/SF!J30)*1000</f>
        <v>6.5447945709926865</v>
      </c>
      <c r="K30" s="422">
        <f>(Water!K30/SF!K30)*1000</f>
        <v>7.6737334946604241</v>
      </c>
      <c r="L30" s="422">
        <f>(Water!L30/SF!L30)*1000</f>
        <v>15.616813088537008</v>
      </c>
      <c r="M30" s="422">
        <f>(Water!M30/SF!M30)*1000</f>
        <v>8.1487716344889254</v>
      </c>
      <c r="N30" s="422">
        <f>(Water!N30/SF!N30)*1000</f>
        <v>6.9577568520174653</v>
      </c>
      <c r="O30" s="422">
        <f>(Water!O30/SF!O30)*1000</f>
        <v>6.8514913988110893</v>
      </c>
      <c r="P30" s="422">
        <f>(Water!P30/SF!P30)*1000</f>
        <v>7.4101741280446101</v>
      </c>
      <c r="Q30" s="422">
        <f>(Water!Q30/SF!Q30)*1000</f>
        <v>10.707559577042455</v>
      </c>
      <c r="R30" s="422">
        <f>(Water!R30/SF!R30)*1000</f>
        <v>16.003998106160239</v>
      </c>
      <c r="S30" s="422">
        <f>(Water!S30/SF!S30)*1000</f>
        <v>4.2343100636540587</v>
      </c>
      <c r="T30" s="422">
        <f>(Water!T30/SF!T30)*1000</f>
        <v>8.9447104003366817</v>
      </c>
      <c r="U30" s="542">
        <f>(Water!U30/SF!U30)*1000</f>
        <v>10.530801199431847</v>
      </c>
    </row>
    <row r="31" spans="2:21" ht="16">
      <c r="B31" s="188" t="s">
        <v>57</v>
      </c>
      <c r="C31" s="177">
        <v>2509.9</v>
      </c>
      <c r="D31" s="177">
        <v>2997.8</v>
      </c>
      <c r="E31" s="177">
        <v>4316.1000000000004</v>
      </c>
      <c r="F31" s="177">
        <v>2080.3000000000002</v>
      </c>
      <c r="G31" s="177">
        <v>1501.4</v>
      </c>
      <c r="H31" s="422">
        <f>(Water!H31/SF!H31)*1000</f>
        <v>6.6578062627927874</v>
      </c>
      <c r="I31" s="422">
        <f>(Water!I31/SF!I31)*1000</f>
        <v>6.3577256856007631</v>
      </c>
      <c r="J31" s="422">
        <f>(Water!J31/SF!J31)*1000</f>
        <v>6.0233766474331079</v>
      </c>
      <c r="K31" s="422">
        <f>(Water!K31/SF!K31)*1000</f>
        <v>4.1265710237008086</v>
      </c>
      <c r="L31" s="422">
        <f>(Water!L31/SF!L31)*1000</f>
        <v>3.7250743255133321</v>
      </c>
      <c r="M31" s="422">
        <f>(Water!M31/SF!M31)*1000</f>
        <v>4.2881884950588587</v>
      </c>
      <c r="N31" s="422">
        <f>(Water!N31/SF!N31)*1000</f>
        <v>4.802678497003825</v>
      </c>
      <c r="O31" s="422">
        <f>(Water!O31/SF!O31)*1000</f>
        <v>4.5113965787109507</v>
      </c>
      <c r="P31" s="422">
        <f>(Water!P31/SF!P31)*1000</f>
        <v>4.8091617193505662</v>
      </c>
      <c r="Q31" s="422">
        <f>(Water!Q31/SF!Q31)*1000</f>
        <v>4.5336247696140637</v>
      </c>
      <c r="R31" s="422">
        <f>(Water!R31/SF!R31)*1000</f>
        <v>5.8876920654620228</v>
      </c>
      <c r="S31" s="422">
        <f>(Water!S31/SF!S31)*1000</f>
        <v>1.4411277102184845</v>
      </c>
      <c r="T31" s="422">
        <f>(Water!T31/SF!T31)*1000</f>
        <v>4.5229737614729881</v>
      </c>
      <c r="U31" s="542">
        <f>(Water!U31/SF!U31)*1000</f>
        <v>5.3347658167470895</v>
      </c>
    </row>
    <row r="32" spans="2:21" ht="16">
      <c r="B32" s="188" t="s">
        <v>68</v>
      </c>
      <c r="C32" s="177">
        <v>380</v>
      </c>
      <c r="D32" s="177">
        <v>236.9</v>
      </c>
      <c r="E32" s="177">
        <v>262</v>
      </c>
      <c r="F32" s="177">
        <v>314</v>
      </c>
      <c r="G32" s="177">
        <v>284.5</v>
      </c>
      <c r="H32" s="422">
        <f>(Water!H32/SF!H32)*1000</f>
        <v>6.1819696890786942</v>
      </c>
      <c r="I32" s="422">
        <f>(Water!I32/SF!I32)*1000</f>
        <v>5.8174053434716937</v>
      </c>
      <c r="J32" s="422">
        <f>(Water!J32/SF!J32)*1000</f>
        <v>3.6586636112702462</v>
      </c>
      <c r="K32" s="422">
        <f>(Water!K32/SF!K32)*1000</f>
        <v>4.8513098276131457</v>
      </c>
      <c r="L32" s="422">
        <f>(Water!L32/SF!L32)*1000</f>
        <v>4.8096453309723444</v>
      </c>
      <c r="M32" s="422">
        <f>(Water!M32/SF!M32)*1000</f>
        <v>11.449924483099839</v>
      </c>
      <c r="N32" s="422">
        <f>(Water!N32/SF!N32)*1000</f>
        <v>15.913233685745535</v>
      </c>
      <c r="O32" s="422">
        <f>(Water!O32/SF!O32)*1000</f>
        <v>10.97078277173064</v>
      </c>
      <c r="P32" s="422">
        <f>(Water!P32/SF!P32)*1000</f>
        <v>8.1089526587156904</v>
      </c>
      <c r="Q32" s="422">
        <f>(Water!Q32/SF!Q32)*1000</f>
        <v>7.6480391646268426</v>
      </c>
      <c r="R32" s="422">
        <f>(Water!R32/SF!R32)*1000</f>
        <v>5.3773240977032453</v>
      </c>
      <c r="S32" s="422">
        <f>(Water!S32/SF!S32)*1000</f>
        <v>11.08796416853289</v>
      </c>
      <c r="T32" s="422">
        <f>(Water!T32/SF!T32)*1000</f>
        <v>27.428258944846622</v>
      </c>
      <c r="U32" s="542">
        <f>(Water!U32/SF!U32)*1000</f>
        <v>18.988594344044582</v>
      </c>
    </row>
    <row r="33" spans="2:21" ht="16">
      <c r="B33" s="188" t="s">
        <v>59</v>
      </c>
      <c r="C33" s="177">
        <v>6726</v>
      </c>
      <c r="D33" s="177">
        <v>6108.3</v>
      </c>
      <c r="E33" s="177">
        <v>4676.8</v>
      </c>
      <c r="F33" s="177">
        <v>7705.3</v>
      </c>
      <c r="G33" s="177">
        <v>8572.5</v>
      </c>
      <c r="H33" s="422">
        <f>(Water!H33/SF!H33)*1000</f>
        <v>16.256691354855906</v>
      </c>
      <c r="I33" s="422">
        <f>(Water!I33/SF!I33)*1000</f>
        <v>23.122903745677924</v>
      </c>
      <c r="J33" s="422">
        <f>(Water!J33/SF!J33)*1000</f>
        <v>38.752230451618637</v>
      </c>
      <c r="K33" s="422">
        <f>(Water!K33/SF!K33)*1000</f>
        <v>15.235434503081292</v>
      </c>
      <c r="L33" s="422">
        <f>(Water!L33/SF!L33)*1000</f>
        <v>10.211581319242722</v>
      </c>
      <c r="M33" s="422">
        <f>(Water!M33/SF!M33)*1000</f>
        <v>8.9933783660383977</v>
      </c>
      <c r="N33" s="422">
        <f>(Water!N33/SF!N33)*1000</f>
        <v>13.148003267627045</v>
      </c>
      <c r="O33" s="422">
        <f>(Water!O33/SF!O33)*1000</f>
        <v>9.7535212136618394</v>
      </c>
      <c r="P33" s="422">
        <f>(Water!P33/SF!P33)*1000</f>
        <v>10.907803063770556</v>
      </c>
      <c r="Q33" s="422">
        <f>(Water!Q33/SF!Q33)*1000</f>
        <v>8.1557404358974992</v>
      </c>
      <c r="R33" s="422">
        <f>(Water!R33/SF!R33)*1000</f>
        <v>8.6409485003220734</v>
      </c>
      <c r="S33" s="422">
        <f>(Water!S33/SF!S33)*1000</f>
        <v>9.5481839249531699</v>
      </c>
      <c r="T33" s="422">
        <f>(Water!T33/SF!T33)*1000</f>
        <v>17.576082154659456</v>
      </c>
      <c r="U33" s="542">
        <f>(Water!U33/SF!U33)*1000</f>
        <v>5.8600103162243604</v>
      </c>
    </row>
    <row r="34" spans="2:21" ht="16">
      <c r="B34" s="188" t="s">
        <v>61</v>
      </c>
      <c r="C34" s="177">
        <v>3747.4</v>
      </c>
      <c r="D34" s="177">
        <v>5180.8</v>
      </c>
      <c r="E34" s="177">
        <v>3255.9</v>
      </c>
      <c r="F34" s="177">
        <v>4805.1000000000004</v>
      </c>
      <c r="G34" s="177">
        <v>5751.3</v>
      </c>
      <c r="H34" s="422">
        <f>(Water!H34/SF!H34)*1000</f>
        <v>9.5991519476540184</v>
      </c>
      <c r="I34" s="422">
        <f>(Water!I34/SF!I34)*1000</f>
        <v>19.14295315943977</v>
      </c>
      <c r="J34" s="422">
        <f>(Water!J34/SF!J34)*1000</f>
        <v>25.581182726616785</v>
      </c>
      <c r="K34" s="422">
        <f>(Water!K34/SF!K34)*1000</f>
        <v>12.613790240479178</v>
      </c>
      <c r="L34" s="422">
        <f>(Water!L34/SF!L34)*1000</f>
        <v>10.171191918792562</v>
      </c>
      <c r="M34" s="422">
        <f>(Water!M34/SF!M34)*1000</f>
        <v>11.865814001759363</v>
      </c>
      <c r="N34" s="422">
        <f>(Water!N34/SF!N34)*1000</f>
        <v>9.4541033674992345</v>
      </c>
      <c r="O34" s="422">
        <f>(Water!O34/SF!O34)*1000</f>
        <v>10.19170134324375</v>
      </c>
      <c r="P34" s="422">
        <f>(Water!P34/SF!P34)*1000</f>
        <v>14.210807231178279</v>
      </c>
      <c r="Q34" s="422">
        <f>(Water!Q34/SF!Q34)*1000</f>
        <v>11.641692941792771</v>
      </c>
      <c r="R34" s="422">
        <f>(Water!R34/SF!R34)*1000</f>
        <v>8.7891532325818158</v>
      </c>
      <c r="S34" s="422">
        <f>(Water!S34/SF!S34)*1000</f>
        <v>3.1090310656005062</v>
      </c>
      <c r="T34" s="422">
        <f>(Water!T34/SF!T34)*1000</f>
        <v>3.3262332835835648</v>
      </c>
      <c r="U34" s="542">
        <f>(Water!U34/SF!U34)*1000</f>
        <v>5.4095460251252794</v>
      </c>
    </row>
    <row r="35" spans="2:21" ht="16">
      <c r="B35" s="188" t="s">
        <v>95</v>
      </c>
      <c r="C35" s="177">
        <v>748.6</v>
      </c>
      <c r="D35" s="177">
        <v>407.7</v>
      </c>
      <c r="E35" s="177">
        <v>270.89999999999998</v>
      </c>
      <c r="F35" s="177">
        <v>239.4</v>
      </c>
      <c r="G35" s="177">
        <v>414.9</v>
      </c>
      <c r="H35" s="422">
        <f>(Water!H35/SF!H35)*1000</f>
        <v>3.9931271477663235</v>
      </c>
      <c r="I35" s="422">
        <f>(Water!I35/SF!I35)*1000</f>
        <v>7.7938144329896915</v>
      </c>
      <c r="J35" s="422">
        <f>(Water!J35/SF!J35)*1000</f>
        <v>6.5257731958762886</v>
      </c>
      <c r="K35" s="422">
        <f>(Water!K35/SF!K35)*1000</f>
        <v>6.3075601374570454</v>
      </c>
      <c r="L35" s="422">
        <f>(Water!L35/SF!L35)*1000</f>
        <v>4.5738831615120272</v>
      </c>
      <c r="M35" s="422">
        <f>(Water!M35/SF!M35)*1000</f>
        <v>11.027491408934708</v>
      </c>
      <c r="N35" s="422">
        <f>(Water!N35/SF!N35)*1000</f>
        <v>14.79381443298969</v>
      </c>
      <c r="O35" s="422">
        <f>(Water!O35/SF!O35)*1000</f>
        <v>15.154639175257731</v>
      </c>
      <c r="P35" s="422">
        <f>(Water!P35/SF!P35)*1000</f>
        <v>10.88659793814433</v>
      </c>
      <c r="Q35" s="422">
        <f>(Water!Q35/SF!Q35)*1000</f>
        <v>12.06872852233677</v>
      </c>
      <c r="R35" s="422">
        <f>(Water!R35/SF!R35)*1000</f>
        <v>4.8453608247422686</v>
      </c>
      <c r="S35" s="422">
        <f>(Water!S35/SF!S35)*1000</f>
        <v>8.3797250859106533</v>
      </c>
      <c r="T35" s="422">
        <f>(Water!T35/SF!T35)*1000</f>
        <v>7.3006872852233675</v>
      </c>
      <c r="U35" s="542">
        <f>(Water!U35/SF!U35)*1000</f>
        <v>5.0429553264604809</v>
      </c>
    </row>
    <row r="36" spans="2:21" ht="16">
      <c r="B36" s="188" t="s">
        <v>65</v>
      </c>
      <c r="C36" s="699" t="s">
        <v>148</v>
      </c>
      <c r="D36" s="699"/>
      <c r="E36" s="699"/>
      <c r="F36" s="699"/>
      <c r="G36" s="186">
        <v>1246.9000000000001</v>
      </c>
      <c r="H36" s="422">
        <f>(Water!H36/SF!H36)*1000</f>
        <v>5.3651948161150287</v>
      </c>
      <c r="I36" s="422">
        <f>(Water!I36/SF!I36)*1000</f>
        <v>5.3299839186050182</v>
      </c>
      <c r="J36" s="422">
        <f>(Water!J36/SF!J36)*1000</f>
        <v>7.3367423087838048</v>
      </c>
      <c r="K36" s="422">
        <f>(Water!K36/SF!K36)*1000</f>
        <v>6.2459927896490468</v>
      </c>
      <c r="L36" s="422">
        <f>(Water!L36/SF!L36)*1000</f>
        <v>5.8873146172522883</v>
      </c>
      <c r="M36" s="422">
        <f>(Water!M36/SF!M36)*1000</f>
        <v>7.607918773189267</v>
      </c>
      <c r="N36" s="422">
        <f>(Water!N36/SF!N36)*1000</f>
        <v>8.8476576870119086</v>
      </c>
      <c r="O36" s="422">
        <f>(Water!O36/SF!O36)*1000</f>
        <v>10.185146256608611</v>
      </c>
      <c r="P36" s="422">
        <f>(Water!P36/SF!P36)*1000</f>
        <v>8.970633060405083</v>
      </c>
      <c r="Q36" s="422">
        <f>(Water!Q36/SF!Q36)*1000</f>
        <v>10.649719889427272</v>
      </c>
      <c r="R36" s="422">
        <f>(Water!R36/SF!R36)*1000</f>
        <v>6.0954267876099681</v>
      </c>
      <c r="S36" s="422">
        <f>(Water!S36/SF!S36)*1000</f>
        <v>9.941560420849056</v>
      </c>
      <c r="T36" s="422">
        <f>(Water!T36/SF!T36)*1000</f>
        <v>5.6227073501434717</v>
      </c>
      <c r="U36" s="542">
        <f>(Water!U36/SF!U36)*1000</f>
        <v>1.5703009217897648</v>
      </c>
    </row>
    <row r="37" spans="2:21" ht="16">
      <c r="B37" s="188" t="s">
        <v>5</v>
      </c>
      <c r="C37" s="177">
        <v>159.69999999999999</v>
      </c>
      <c r="D37" s="177">
        <v>278.10000000000002</v>
      </c>
      <c r="E37" s="177">
        <v>255.7</v>
      </c>
      <c r="F37" s="177">
        <v>191.9</v>
      </c>
      <c r="G37" s="177">
        <v>250.9</v>
      </c>
      <c r="H37" s="422">
        <f>(Water!H37/SF!H37)*1000</f>
        <v>4.8497854077253217</v>
      </c>
      <c r="I37" s="422">
        <f>(Water!I37/SF!I37)*1000</f>
        <v>4.5879828326180254</v>
      </c>
      <c r="J37" s="422">
        <f>(Water!J37/SF!J37)*1000</f>
        <v>4.4463519313304722</v>
      </c>
      <c r="K37" s="422">
        <f>(Water!K37/SF!K37)*1000</f>
        <v>5.2381974248927037</v>
      </c>
      <c r="L37" s="422">
        <f>(Water!L37/SF!L37)*1000</f>
        <v>4.0579399141630894</v>
      </c>
      <c r="M37" s="422">
        <f>(Water!M37/SF!M37)*1000</f>
        <v>3.5944206008583692</v>
      </c>
      <c r="N37" s="422">
        <f>(Water!N37/SF!N37)*1000</f>
        <v>3.8969957081545061</v>
      </c>
      <c r="O37" s="422">
        <f>(Water!O37/SF!O37)*1000</f>
        <v>4.9656652360515023</v>
      </c>
      <c r="P37" s="422">
        <f>(Water!P37/SF!P37)*1000</f>
        <v>4.540772532188841</v>
      </c>
      <c r="Q37" s="422">
        <f>(Water!Q37/SF!Q37)*1000</f>
        <v>4.9356223175965672</v>
      </c>
      <c r="R37" s="422">
        <f>(Water!R37/SF!R37)*1000</f>
        <v>4.1287553648068673</v>
      </c>
      <c r="S37" s="422">
        <f>(Water!S37/SF!S37)*1000</f>
        <v>2.7231759656652361</v>
      </c>
      <c r="T37" s="422">
        <f>(Water!T37/SF!T37)*1000</f>
        <v>1.836909871244635</v>
      </c>
      <c r="U37" s="542">
        <f>(Water!U37/SF!U37)*1000</f>
        <v>6.2489270386266096</v>
      </c>
    </row>
    <row r="38" spans="2:21" ht="17" thickBot="1">
      <c r="B38" s="317" t="s">
        <v>48</v>
      </c>
      <c r="C38" s="417">
        <v>239.2</v>
      </c>
      <c r="D38" s="417">
        <v>204.7</v>
      </c>
      <c r="E38" s="417">
        <v>197.9</v>
      </c>
      <c r="F38" s="417">
        <v>195.4</v>
      </c>
      <c r="G38" s="417">
        <v>202.8</v>
      </c>
      <c r="H38" s="543">
        <f>(Water!H38/SF!H38)*1000</f>
        <v>11.911009074013338</v>
      </c>
      <c r="I38" s="543">
        <f>(Water!I38/SF!I38)*1000</f>
        <v>13.611020006559526</v>
      </c>
      <c r="J38" s="543">
        <f>(Water!J38/SF!J38)*1000</f>
        <v>8.5875150322510105</v>
      </c>
      <c r="K38" s="543">
        <f>(Water!K38/SF!K38)*1000</f>
        <v>8.7296381327211101</v>
      </c>
      <c r="L38" s="543">
        <f>(Water!L38/SF!L38)*1000</f>
        <v>8.6257789439160373</v>
      </c>
      <c r="M38" s="543">
        <f>(Water!M38/SF!M38)*1000</f>
        <v>9.0193506067563138</v>
      </c>
      <c r="N38" s="543">
        <f>(Water!N38/SF!N38)*1000</f>
        <v>8.7405706789111175</v>
      </c>
      <c r="O38" s="543">
        <f>(Water!O38/SF!O38)*1000</f>
        <v>10.287525964797201</v>
      </c>
      <c r="P38" s="543">
        <f>(Water!P38/SF!P38)*1000</f>
        <v>11.429977041653002</v>
      </c>
      <c r="Q38" s="543">
        <f>(Water!Q38/SF!Q38)*1000</f>
        <v>10.435115338362305</v>
      </c>
      <c r="R38" s="543">
        <f>(Water!R38/SF!R38)*1000</f>
        <v>4.0559746364928397</v>
      </c>
      <c r="S38" s="543">
        <f>(Water!S38/SF!S38)*1000</f>
        <v>5.9801027659341859</v>
      </c>
      <c r="T38" s="543">
        <f>(Water!T38/SF!T38)*1000</f>
        <v>15.267300754345687</v>
      </c>
      <c r="U38" s="544">
        <f>(Water!U38/SF!U38)*1000</f>
        <v>16.207499726686347</v>
      </c>
    </row>
  </sheetData>
  <mergeCells count="5">
    <mergeCell ref="B2:J2"/>
    <mergeCell ref="C4:D4"/>
    <mergeCell ref="H26:K26"/>
    <mergeCell ref="C36:F36"/>
    <mergeCell ref="H13:J13"/>
  </mergeCells>
  <conditionalFormatting sqref="H4:U12 H14:U25 H27:U38">
    <cfRule type="colorScale" priority="1">
      <colorScale>
        <cfvo type="min"/>
        <cfvo type="percentile" val="50"/>
        <cfvo type="max"/>
        <color rgb="FF63BE7B"/>
        <color rgb="FFFFEB84"/>
        <color rgb="FFF8696B"/>
      </colorScale>
    </cfRule>
  </conditionalFormatting>
  <pageMargins left="0.7" right="0.7" top="0.75" bottom="0.75" header="0.3" footer="0.3"/>
  <pageSetup scale="57" orientation="landscape"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68386-ACCB-1349-9234-B01F0C72BAC7}">
  <sheetPr>
    <pageSetUpPr fitToPage="1"/>
  </sheetPr>
  <dimension ref="B1:U39"/>
  <sheetViews>
    <sheetView zoomScaleNormal="100" workbookViewId="0">
      <selection activeCell="V19" sqref="V19"/>
    </sheetView>
  </sheetViews>
  <sheetFormatPr baseColWidth="10" defaultRowHeight="15"/>
  <cols>
    <col min="2" max="2" width="36.5" customWidth="1"/>
    <col min="3" max="7" width="0" hidden="1" customWidth="1"/>
    <col min="8" max="21" width="14.5" customWidth="1"/>
  </cols>
  <sheetData>
    <row r="1" spans="2:21" ht="16" thickBot="1"/>
    <row r="2" spans="2:21" ht="61" customHeight="1" thickBot="1">
      <c r="B2" s="250" t="s">
        <v>287</v>
      </c>
      <c r="C2" s="28"/>
      <c r="D2" s="251"/>
      <c r="E2" s="28"/>
      <c r="F2" s="28"/>
      <c r="G2" s="28"/>
      <c r="H2" s="28"/>
      <c r="I2" s="29"/>
      <c r="J2" s="493"/>
      <c r="K2" s="494"/>
      <c r="L2" s="494"/>
      <c r="M2" s="194"/>
      <c r="N2" s="194"/>
      <c r="O2" s="194"/>
      <c r="P2" s="194"/>
      <c r="Q2" s="194"/>
      <c r="R2" s="194"/>
      <c r="S2" s="252" t="s">
        <v>264</v>
      </c>
      <c r="T2" s="253" t="s">
        <v>160</v>
      </c>
      <c r="U2" s="253"/>
    </row>
    <row r="3" spans="2:21" ht="22" thickBot="1">
      <c r="B3" s="291" t="s">
        <v>90</v>
      </c>
      <c r="C3" s="292">
        <v>2005</v>
      </c>
      <c r="D3" s="292">
        <f>C3+1</f>
        <v>2006</v>
      </c>
      <c r="E3" s="292">
        <f t="shared" ref="E3:U3" si="0">D3+1</f>
        <v>2007</v>
      </c>
      <c r="F3" s="292">
        <f t="shared" si="0"/>
        <v>2008</v>
      </c>
      <c r="G3" s="292">
        <f t="shared" si="0"/>
        <v>2009</v>
      </c>
      <c r="H3" s="292">
        <f t="shared" si="0"/>
        <v>2010</v>
      </c>
      <c r="I3" s="292">
        <f t="shared" si="0"/>
        <v>2011</v>
      </c>
      <c r="J3" s="292">
        <f t="shared" si="0"/>
        <v>2012</v>
      </c>
      <c r="K3" s="292">
        <f t="shared" si="0"/>
        <v>2013</v>
      </c>
      <c r="L3" s="292">
        <f t="shared" si="0"/>
        <v>2014</v>
      </c>
      <c r="M3" s="292">
        <f t="shared" si="0"/>
        <v>2015</v>
      </c>
      <c r="N3" s="292">
        <f t="shared" si="0"/>
        <v>2016</v>
      </c>
      <c r="O3" s="292">
        <f t="shared" si="0"/>
        <v>2017</v>
      </c>
      <c r="P3" s="292">
        <f t="shared" si="0"/>
        <v>2018</v>
      </c>
      <c r="Q3" s="292">
        <f t="shared" si="0"/>
        <v>2019</v>
      </c>
      <c r="R3" s="292">
        <f t="shared" si="0"/>
        <v>2020</v>
      </c>
      <c r="S3" s="292">
        <f t="shared" si="0"/>
        <v>2021</v>
      </c>
      <c r="T3" s="293">
        <f t="shared" si="0"/>
        <v>2022</v>
      </c>
      <c r="U3" s="293">
        <f t="shared" si="0"/>
        <v>2023</v>
      </c>
    </row>
    <row r="4" spans="2:21" ht="16">
      <c r="B4" s="313" t="s">
        <v>1</v>
      </c>
      <c r="C4" s="314" t="s">
        <v>99</v>
      </c>
      <c r="D4" s="314"/>
      <c r="E4" s="178">
        <v>532563.6</v>
      </c>
      <c r="F4" s="178">
        <v>539825.4</v>
      </c>
      <c r="G4" s="178">
        <v>590592</v>
      </c>
      <c r="H4" s="315">
        <v>501.96354840851006</v>
      </c>
      <c r="I4" s="178">
        <v>458.80938190850998</v>
      </c>
      <c r="J4" s="178">
        <v>443.73462520851007</v>
      </c>
      <c r="K4" s="178">
        <v>453.47608930850998</v>
      </c>
      <c r="L4" s="178">
        <v>410.53080000851003</v>
      </c>
      <c r="M4" s="178">
        <v>404.34114830850996</v>
      </c>
      <c r="N4" s="178">
        <v>351.6687157761753</v>
      </c>
      <c r="O4" s="178">
        <v>409.5168662816501</v>
      </c>
      <c r="P4" s="178">
        <v>430.91010360083772</v>
      </c>
      <c r="Q4" s="178">
        <v>460.04583104337934</v>
      </c>
      <c r="R4" s="178">
        <v>424.78348016701767</v>
      </c>
      <c r="S4" s="178">
        <v>294.10352039719766</v>
      </c>
      <c r="T4" s="316">
        <v>460.50724331728844</v>
      </c>
      <c r="U4" s="316">
        <v>358.77087528486692</v>
      </c>
    </row>
    <row r="5" spans="2:21" ht="16">
      <c r="B5" s="188" t="s">
        <v>265</v>
      </c>
      <c r="C5" s="74">
        <v>314466.8</v>
      </c>
      <c r="D5" s="74">
        <v>309749</v>
      </c>
      <c r="E5" s="74">
        <v>259029.7</v>
      </c>
      <c r="F5" s="74">
        <v>284351.2</v>
      </c>
      <c r="G5" s="74">
        <v>319561.3</v>
      </c>
      <c r="H5" s="75">
        <v>383.8015274534954</v>
      </c>
      <c r="I5" s="74">
        <v>394.51839628676743</v>
      </c>
      <c r="J5" s="74">
        <v>310.17483635909065</v>
      </c>
      <c r="K5" s="74">
        <v>312.1166520953351</v>
      </c>
      <c r="L5" s="74">
        <v>346.84684345533873</v>
      </c>
      <c r="M5" s="74">
        <v>321.1034117330438</v>
      </c>
      <c r="N5" s="74">
        <v>288.25624907519256</v>
      </c>
      <c r="O5" s="74">
        <v>316.72355474367339</v>
      </c>
      <c r="P5" s="74">
        <v>325.13596094276534</v>
      </c>
      <c r="Q5" s="74">
        <v>467.85066390309453</v>
      </c>
      <c r="R5" s="74">
        <v>467.68750329848524</v>
      </c>
      <c r="S5" s="74">
        <v>239.2181563571624</v>
      </c>
      <c r="T5" s="85">
        <v>326.73285010317801</v>
      </c>
      <c r="U5" s="85">
        <v>278.17885703945109</v>
      </c>
    </row>
    <row r="6" spans="2:21" ht="16">
      <c r="B6" s="188" t="s">
        <v>7</v>
      </c>
      <c r="C6" s="71">
        <v>350935.6</v>
      </c>
      <c r="D6" s="71">
        <v>337195.8</v>
      </c>
      <c r="E6" s="71">
        <v>375470.9</v>
      </c>
      <c r="F6" s="71">
        <v>374465.6</v>
      </c>
      <c r="G6" s="71">
        <v>359130.4</v>
      </c>
      <c r="H6" s="72">
        <v>439.78979205187835</v>
      </c>
      <c r="I6" s="71">
        <v>442.91569118545692</v>
      </c>
      <c r="J6" s="71">
        <v>390.33822133686647</v>
      </c>
      <c r="K6" s="71">
        <v>399.48045756068103</v>
      </c>
      <c r="L6" s="71">
        <v>415.36618686236994</v>
      </c>
      <c r="M6" s="71">
        <v>397.32644849796833</v>
      </c>
      <c r="N6" s="71">
        <v>365.94113863687431</v>
      </c>
      <c r="O6" s="71">
        <v>400.70467191492799</v>
      </c>
      <c r="P6" s="71">
        <v>462.35397628611508</v>
      </c>
      <c r="Q6" s="71">
        <v>503.43694747569498</v>
      </c>
      <c r="R6" s="71">
        <v>453.89327859213716</v>
      </c>
      <c r="S6" s="71">
        <v>341.8443797131381</v>
      </c>
      <c r="T6" s="92">
        <v>505.28744911450445</v>
      </c>
      <c r="U6" s="92">
        <v>393.64838993555486</v>
      </c>
    </row>
    <row r="7" spans="2:21" ht="16">
      <c r="B7" s="188" t="s">
        <v>9</v>
      </c>
      <c r="C7" s="72">
        <v>215760.3</v>
      </c>
      <c r="D7" s="72">
        <v>217423.2</v>
      </c>
      <c r="E7" s="72">
        <v>216437.6</v>
      </c>
      <c r="F7" s="72">
        <v>256057.1</v>
      </c>
      <c r="G7" s="72">
        <v>200338.9</v>
      </c>
      <c r="H7" s="72">
        <v>322.05189392002734</v>
      </c>
      <c r="I7" s="72">
        <v>335.9144181929563</v>
      </c>
      <c r="J7" s="72">
        <v>287.52061934698872</v>
      </c>
      <c r="K7" s="72">
        <v>312.57004087785396</v>
      </c>
      <c r="L7" s="72">
        <v>290.90093937259917</v>
      </c>
      <c r="M7" s="72">
        <v>302.47058836781741</v>
      </c>
      <c r="N7" s="72">
        <v>218.89872577024624</v>
      </c>
      <c r="O7" s="72">
        <v>265.2139172331697</v>
      </c>
      <c r="P7" s="72">
        <v>251.9712568692382</v>
      </c>
      <c r="Q7" s="72">
        <v>272.19747491805424</v>
      </c>
      <c r="R7" s="72">
        <v>283.13488503922872</v>
      </c>
      <c r="S7" s="72">
        <v>211.2951317228472</v>
      </c>
      <c r="T7" s="94">
        <v>396.9437293771237</v>
      </c>
      <c r="U7" s="94">
        <v>340.66463963362389</v>
      </c>
    </row>
    <row r="8" spans="2:21" ht="16">
      <c r="B8" s="188" t="s">
        <v>11</v>
      </c>
      <c r="C8" s="71">
        <v>312771</v>
      </c>
      <c r="D8" s="71">
        <v>282627</v>
      </c>
      <c r="E8" s="71">
        <v>255272</v>
      </c>
      <c r="F8" s="71">
        <v>257901.4</v>
      </c>
      <c r="G8" s="71">
        <v>266605.2</v>
      </c>
      <c r="H8" s="72">
        <v>459.42168234625723</v>
      </c>
      <c r="I8" s="71">
        <v>413.94690886343744</v>
      </c>
      <c r="J8" s="71">
        <v>326.78172164312684</v>
      </c>
      <c r="K8" s="71">
        <v>328.94601484709489</v>
      </c>
      <c r="L8" s="71">
        <v>341.01983035390475</v>
      </c>
      <c r="M8" s="71">
        <v>361.74359739577409</v>
      </c>
      <c r="N8" s="71">
        <v>307.96818825531574</v>
      </c>
      <c r="O8" s="71">
        <v>303.57756044521994</v>
      </c>
      <c r="P8" s="71">
        <v>358.68584162911867</v>
      </c>
      <c r="Q8" s="71">
        <v>405.18585078906153</v>
      </c>
      <c r="R8" s="71">
        <v>323.97797747598548</v>
      </c>
      <c r="S8" s="71">
        <v>276.91586560923662</v>
      </c>
      <c r="T8" s="92">
        <v>390.82632160654458</v>
      </c>
      <c r="U8" s="92">
        <v>327.71777263517862</v>
      </c>
    </row>
    <row r="9" spans="2:21" ht="16">
      <c r="B9" s="188" t="s">
        <v>13</v>
      </c>
      <c r="C9" s="71">
        <v>520278.9</v>
      </c>
      <c r="D9" s="71">
        <v>518853.9</v>
      </c>
      <c r="E9" s="71">
        <v>481047.9</v>
      </c>
      <c r="F9" s="71">
        <v>519751.9</v>
      </c>
      <c r="G9" s="71">
        <v>522155.7</v>
      </c>
      <c r="H9" s="72">
        <v>449.84841838936512</v>
      </c>
      <c r="I9" s="71">
        <v>415.10821487109212</v>
      </c>
      <c r="J9" s="71">
        <v>387.98069498200834</v>
      </c>
      <c r="K9" s="71">
        <v>383.89211233804014</v>
      </c>
      <c r="L9" s="71">
        <v>333.42946667883263</v>
      </c>
      <c r="M9" s="71">
        <v>346.64422193303761</v>
      </c>
      <c r="N9" s="71">
        <v>312.55460285321755</v>
      </c>
      <c r="O9" s="71">
        <v>371.28923195091954</v>
      </c>
      <c r="P9" s="71">
        <v>451.85024327985155</v>
      </c>
      <c r="Q9" s="71">
        <v>447.50718223221668</v>
      </c>
      <c r="R9" s="71">
        <v>369.034714282403</v>
      </c>
      <c r="S9" s="71">
        <v>259.85474550117146</v>
      </c>
      <c r="T9" s="92">
        <v>334.50035804936607</v>
      </c>
      <c r="U9" s="92">
        <v>381.50500571980859</v>
      </c>
    </row>
    <row r="10" spans="2:21" ht="16">
      <c r="B10" s="188" t="s">
        <v>15</v>
      </c>
      <c r="C10" s="72">
        <v>330152</v>
      </c>
      <c r="D10" s="72">
        <v>301427.59999999998</v>
      </c>
      <c r="E10" s="72">
        <v>279136</v>
      </c>
      <c r="F10" s="72">
        <v>286067</v>
      </c>
      <c r="G10" s="72">
        <v>266659.40000000002</v>
      </c>
      <c r="H10" s="72">
        <v>322.67963058936505</v>
      </c>
      <c r="I10" s="72">
        <v>312.52446317109212</v>
      </c>
      <c r="J10" s="72">
        <v>255.33765538200836</v>
      </c>
      <c r="K10" s="72">
        <v>254.85650803804018</v>
      </c>
      <c r="L10" s="72">
        <v>262.77327227883262</v>
      </c>
      <c r="M10" s="72">
        <v>434.45015043027973</v>
      </c>
      <c r="N10" s="72">
        <v>453.25880053580488</v>
      </c>
      <c r="O10" s="72">
        <v>383.20887761639835</v>
      </c>
      <c r="P10" s="72">
        <v>356.24040629228028</v>
      </c>
      <c r="Q10" s="72">
        <v>401.28655743903488</v>
      </c>
      <c r="R10" s="72">
        <v>442.36889656325388</v>
      </c>
      <c r="S10" s="72">
        <v>345.78310542728644</v>
      </c>
      <c r="T10" s="94">
        <v>454.02995848058822</v>
      </c>
      <c r="U10" s="94">
        <v>415.95671701980859</v>
      </c>
    </row>
    <row r="11" spans="2:21" ht="16">
      <c r="B11" s="188" t="s">
        <v>17</v>
      </c>
      <c r="C11" s="72">
        <v>283760.2</v>
      </c>
      <c r="D11" s="72">
        <v>295918.59999999998</v>
      </c>
      <c r="E11" s="72">
        <v>278884.8</v>
      </c>
      <c r="F11" s="72">
        <v>298551.2</v>
      </c>
      <c r="G11" s="72">
        <v>280048.2</v>
      </c>
      <c r="H11" s="72">
        <v>437.35133085323037</v>
      </c>
      <c r="I11" s="72">
        <v>419.4632611575355</v>
      </c>
      <c r="J11" s="72">
        <v>348.13477643680471</v>
      </c>
      <c r="K11" s="72">
        <v>383.58583996657279</v>
      </c>
      <c r="L11" s="72">
        <v>394.80755599651224</v>
      </c>
      <c r="M11" s="72">
        <v>354.85878670032662</v>
      </c>
      <c r="N11" s="72">
        <v>314.779334132504</v>
      </c>
      <c r="O11" s="72">
        <v>356.78445799931677</v>
      </c>
      <c r="P11" s="72">
        <v>366.55537181562414</v>
      </c>
      <c r="Q11" s="72">
        <v>389.00773964370859</v>
      </c>
      <c r="R11" s="72">
        <v>337.22205942663311</v>
      </c>
      <c r="S11" s="72">
        <v>274.51368738944592</v>
      </c>
      <c r="T11" s="94">
        <v>338.96846897438593</v>
      </c>
      <c r="U11" s="94">
        <v>327.07604752671057</v>
      </c>
    </row>
    <row r="12" spans="2:21" ht="16">
      <c r="B12" s="188" t="s">
        <v>19</v>
      </c>
      <c r="C12" s="75">
        <v>228168.3</v>
      </c>
      <c r="D12" s="75">
        <v>234944</v>
      </c>
      <c r="E12" s="75">
        <v>237884.79999999999</v>
      </c>
      <c r="F12" s="75">
        <v>258301.4</v>
      </c>
      <c r="G12" s="75">
        <v>249443.4</v>
      </c>
      <c r="H12" s="75">
        <v>326.03609459984517</v>
      </c>
      <c r="I12" s="75">
        <v>350.09539901414382</v>
      </c>
      <c r="J12" s="75">
        <v>265.06280512549591</v>
      </c>
      <c r="K12" s="75">
        <v>241.64406491332451</v>
      </c>
      <c r="L12" s="75">
        <v>265.38402663631024</v>
      </c>
      <c r="M12" s="75">
        <v>246.68515956875535</v>
      </c>
      <c r="N12" s="75">
        <v>233.35276529744363</v>
      </c>
      <c r="O12" s="75">
        <v>264.59730099972785</v>
      </c>
      <c r="P12" s="75">
        <v>291.18195188414768</v>
      </c>
      <c r="Q12" s="75">
        <v>269.57856402664618</v>
      </c>
      <c r="R12" s="75">
        <v>239.484942972776</v>
      </c>
      <c r="S12" s="75">
        <v>195.65351424253407</v>
      </c>
      <c r="T12" s="95">
        <v>351.04621501274005</v>
      </c>
      <c r="U12" s="95">
        <v>272.88791339772922</v>
      </c>
    </row>
    <row r="13" spans="2:21" ht="16">
      <c r="B13" s="188" t="s">
        <v>21</v>
      </c>
      <c r="C13" s="71">
        <v>311278</v>
      </c>
      <c r="D13" s="71">
        <v>301547.59999999998</v>
      </c>
      <c r="E13" s="71">
        <v>302082.40000000002</v>
      </c>
      <c r="F13" s="71">
        <v>301331.90000000002</v>
      </c>
      <c r="G13" s="71">
        <v>314840.7</v>
      </c>
      <c r="H13" s="72">
        <v>310.609300965172</v>
      </c>
      <c r="I13" s="71">
        <v>318.58497074628917</v>
      </c>
      <c r="J13" s="71">
        <v>292.5451157581175</v>
      </c>
      <c r="K13" s="71">
        <v>299.12680935259431</v>
      </c>
      <c r="L13" s="71">
        <v>257.1047553451408</v>
      </c>
      <c r="M13" s="71">
        <v>256.7902062400035</v>
      </c>
      <c r="N13" s="71">
        <v>238.54638457477236</v>
      </c>
      <c r="O13" s="71">
        <v>217.54210433789612</v>
      </c>
      <c r="P13" s="71">
        <v>267.61226430393219</v>
      </c>
      <c r="Q13" s="71">
        <v>204.39905846947556</v>
      </c>
      <c r="R13" s="71">
        <v>207.2997065745281</v>
      </c>
      <c r="S13" s="71">
        <v>185.40428524103868</v>
      </c>
      <c r="T13" s="87">
        <v>201.10327053601085</v>
      </c>
      <c r="U13" s="87">
        <v>132.41950576084372</v>
      </c>
    </row>
    <row r="14" spans="2:21" ht="16">
      <c r="B14" s="188" t="s">
        <v>23</v>
      </c>
      <c r="C14" s="74">
        <v>311676</v>
      </c>
      <c r="D14" s="74">
        <v>331103.40000000002</v>
      </c>
      <c r="E14" s="74">
        <v>288744.59999999998</v>
      </c>
      <c r="F14" s="74">
        <v>322270.3</v>
      </c>
      <c r="G14" s="74">
        <v>304967</v>
      </c>
      <c r="H14" s="75">
        <v>438.67818304813312</v>
      </c>
      <c r="I14" s="74">
        <v>440.07699027157651</v>
      </c>
      <c r="J14" s="74">
        <v>304.07858861027563</v>
      </c>
      <c r="K14" s="74">
        <v>307.58273713764152</v>
      </c>
      <c r="L14" s="74">
        <v>360.40591576461242</v>
      </c>
      <c r="M14" s="74">
        <v>353.40713293383737</v>
      </c>
      <c r="N14" s="74">
        <v>269.76350006427845</v>
      </c>
      <c r="O14" s="74">
        <v>352.03426159408264</v>
      </c>
      <c r="P14" s="74">
        <v>413.94555503137121</v>
      </c>
      <c r="Q14" s="74">
        <v>391.88020401162458</v>
      </c>
      <c r="R14" s="74">
        <v>323.7223591496919</v>
      </c>
      <c r="S14" s="74">
        <v>233.47218001367736</v>
      </c>
      <c r="T14" s="85">
        <v>491.09847971982231</v>
      </c>
      <c r="U14" s="85">
        <v>327.87506740375653</v>
      </c>
    </row>
    <row r="15" spans="2:21" ht="16">
      <c r="B15" s="188" t="s">
        <v>25</v>
      </c>
      <c r="C15" s="74">
        <v>229439</v>
      </c>
      <c r="D15" s="74">
        <v>245465</v>
      </c>
      <c r="E15" s="74">
        <v>308911.90000000002</v>
      </c>
      <c r="F15" s="74">
        <v>297347.09999999998</v>
      </c>
      <c r="G15" s="74">
        <v>285802.90000000002</v>
      </c>
      <c r="H15" s="75">
        <v>410.20832616467527</v>
      </c>
      <c r="I15" s="74">
        <v>405.26066090851623</v>
      </c>
      <c r="J15" s="74">
        <v>334.42287616494912</v>
      </c>
      <c r="K15" s="74">
        <v>346.90441955090097</v>
      </c>
      <c r="L15" s="74">
        <v>369.46789073473735</v>
      </c>
      <c r="M15" s="74">
        <v>395.58140869722683</v>
      </c>
      <c r="N15" s="74">
        <v>333.52168359198964</v>
      </c>
      <c r="O15" s="74">
        <v>297.78413835103964</v>
      </c>
      <c r="P15" s="74">
        <v>480.08838146199616</v>
      </c>
      <c r="Q15" s="74">
        <v>424.14914350069881</v>
      </c>
      <c r="R15" s="74">
        <v>378.30409801077985</v>
      </c>
      <c r="S15" s="74">
        <v>277.6529277318001</v>
      </c>
      <c r="T15" s="85">
        <v>337.56771501720749</v>
      </c>
      <c r="U15" s="85">
        <v>256.15952802931344</v>
      </c>
    </row>
    <row r="16" spans="2:21" ht="16">
      <c r="B16" s="188" t="s">
        <v>27</v>
      </c>
      <c r="C16" s="74">
        <v>355208.9</v>
      </c>
      <c r="D16" s="74">
        <v>348156</v>
      </c>
      <c r="E16" s="74">
        <v>356316.6</v>
      </c>
      <c r="F16" s="74">
        <v>361335.1</v>
      </c>
      <c r="G16" s="74">
        <v>411083.1</v>
      </c>
      <c r="H16" s="75">
        <v>507.18336409637163</v>
      </c>
      <c r="I16" s="74">
        <v>499.29610582678316</v>
      </c>
      <c r="J16" s="74">
        <v>441.46453449014956</v>
      </c>
      <c r="K16" s="74">
        <v>408.22392692098509</v>
      </c>
      <c r="L16" s="74">
        <v>449.51543390563404</v>
      </c>
      <c r="M16" s="74">
        <v>426.10729954762485</v>
      </c>
      <c r="N16" s="74">
        <v>406.17894925980454</v>
      </c>
      <c r="O16" s="74">
        <v>511.60991616196361</v>
      </c>
      <c r="P16" s="74">
        <v>576.83626310771422</v>
      </c>
      <c r="Q16" s="74">
        <v>656.5823660872569</v>
      </c>
      <c r="R16" s="74">
        <v>572.25925769826745</v>
      </c>
      <c r="S16" s="74">
        <v>448.64616946301118</v>
      </c>
      <c r="T16" s="96">
        <v>571.51360333502214</v>
      </c>
      <c r="U16" s="96">
        <v>493.01701031695313</v>
      </c>
    </row>
    <row r="17" spans="2:21" ht="16">
      <c r="B17" s="188" t="s">
        <v>29</v>
      </c>
      <c r="C17" s="72">
        <v>303131</v>
      </c>
      <c r="D17" s="72">
        <v>285146.5</v>
      </c>
      <c r="E17" s="72">
        <v>257928.5</v>
      </c>
      <c r="F17" s="72">
        <v>265587.3</v>
      </c>
      <c r="G17" s="72">
        <v>271977.3</v>
      </c>
      <c r="H17" s="72">
        <v>313.2836284396389</v>
      </c>
      <c r="I17" s="72">
        <v>332.27159857989727</v>
      </c>
      <c r="J17" s="72">
        <v>293.57903445371107</v>
      </c>
      <c r="K17" s="72">
        <v>267.75502123354937</v>
      </c>
      <c r="L17" s="72">
        <v>270.6469276493367</v>
      </c>
      <c r="M17" s="72">
        <v>275.05472253733359</v>
      </c>
      <c r="N17" s="72">
        <v>242.92146394613184</v>
      </c>
      <c r="O17" s="72">
        <v>257.36111029508749</v>
      </c>
      <c r="P17" s="72">
        <v>267.82568083445216</v>
      </c>
      <c r="Q17" s="72">
        <v>240.82244381139699</v>
      </c>
      <c r="R17" s="72">
        <v>229.09491680718435</v>
      </c>
      <c r="S17" s="72">
        <v>177.94142810929065</v>
      </c>
      <c r="T17" s="94">
        <v>221.38886257571338</v>
      </c>
      <c r="U17" s="94">
        <v>204.29488959250202</v>
      </c>
    </row>
    <row r="18" spans="2:21" ht="16">
      <c r="B18" s="188" t="s">
        <v>31</v>
      </c>
      <c r="C18" s="74">
        <v>339665.9</v>
      </c>
      <c r="D18" s="74">
        <v>358261.3</v>
      </c>
      <c r="E18" s="74">
        <v>368541.6</v>
      </c>
      <c r="F18" s="74">
        <v>381014.8</v>
      </c>
      <c r="G18" s="74">
        <v>416469.7</v>
      </c>
      <c r="H18" s="75">
        <v>463.15480522089911</v>
      </c>
      <c r="I18" s="74">
        <v>457.23972942555889</v>
      </c>
      <c r="J18" s="74">
        <v>382.45503485872752</v>
      </c>
      <c r="K18" s="74">
        <v>380.04191005448382</v>
      </c>
      <c r="L18" s="74">
        <v>374.52998080937397</v>
      </c>
      <c r="M18" s="74">
        <v>482.90560136094183</v>
      </c>
      <c r="N18" s="74">
        <v>368.1225168051655</v>
      </c>
      <c r="O18" s="74">
        <v>341.98531744665581</v>
      </c>
      <c r="P18" s="74">
        <v>351.36924825835507</v>
      </c>
      <c r="Q18" s="74">
        <v>410.42845313993087</v>
      </c>
      <c r="R18" s="74">
        <v>438.8797445885134</v>
      </c>
      <c r="S18" s="74">
        <v>329.88502443253446</v>
      </c>
      <c r="T18" s="85">
        <v>409.17415467720184</v>
      </c>
      <c r="U18" s="85">
        <v>316.84107974363923</v>
      </c>
    </row>
    <row r="19" spans="2:21" ht="16">
      <c r="B19" s="188" t="s">
        <v>33</v>
      </c>
      <c r="C19" s="74">
        <v>615786.5</v>
      </c>
      <c r="D19" s="74">
        <v>680475.6</v>
      </c>
      <c r="E19" s="74">
        <v>626506.19999999995</v>
      </c>
      <c r="F19" s="74">
        <v>657926.40000000002</v>
      </c>
      <c r="G19" s="74">
        <v>650219.9</v>
      </c>
      <c r="H19" s="75">
        <v>608.68213707112443</v>
      </c>
      <c r="I19" s="74">
        <v>544.07040174774488</v>
      </c>
      <c r="J19" s="74">
        <v>549.25787285217291</v>
      </c>
      <c r="K19" s="74">
        <v>501.79016710930642</v>
      </c>
      <c r="L19" s="74">
        <v>568.82378475778546</v>
      </c>
      <c r="M19" s="74">
        <v>535.05255971271913</v>
      </c>
      <c r="N19" s="74">
        <v>429.53328041548343</v>
      </c>
      <c r="O19" s="74">
        <v>510.53774989389257</v>
      </c>
      <c r="P19" s="74">
        <v>453.8582936356072</v>
      </c>
      <c r="Q19" s="74">
        <v>480.79472661564228</v>
      </c>
      <c r="R19" s="74">
        <v>358.39430629341263</v>
      </c>
      <c r="S19" s="74">
        <v>250.56872618499662</v>
      </c>
      <c r="T19" s="85">
        <v>394.63016153437735</v>
      </c>
      <c r="U19" s="85">
        <v>326.01110638245672</v>
      </c>
    </row>
    <row r="20" spans="2:21" ht="16">
      <c r="B20" s="188" t="s">
        <v>74</v>
      </c>
      <c r="C20" s="74">
        <v>689092.9</v>
      </c>
      <c r="D20" s="74">
        <v>702004.9</v>
      </c>
      <c r="E20" s="74">
        <v>644399.9</v>
      </c>
      <c r="F20" s="74">
        <v>638133.69999999995</v>
      </c>
      <c r="G20" s="74">
        <v>607016.1</v>
      </c>
      <c r="H20" s="75">
        <v>757.24574386001223</v>
      </c>
      <c r="I20" s="74">
        <v>751.98232584076197</v>
      </c>
      <c r="J20" s="74">
        <v>693.19368414588314</v>
      </c>
      <c r="K20" s="74">
        <v>707.18269566847334</v>
      </c>
      <c r="L20" s="74">
        <v>710.65885359513402</v>
      </c>
      <c r="M20" s="74">
        <v>752.8107510686774</v>
      </c>
      <c r="N20" s="74">
        <v>678.82492234422466</v>
      </c>
      <c r="O20" s="74">
        <v>706.71422939172771</v>
      </c>
      <c r="P20" s="74">
        <v>650.26467404127789</v>
      </c>
      <c r="Q20" s="74">
        <v>594.67563549397687</v>
      </c>
      <c r="R20" s="74">
        <v>447.12857557239511</v>
      </c>
      <c r="S20" s="74">
        <v>325.26229550915656</v>
      </c>
      <c r="T20" s="85">
        <v>472.54405229550053</v>
      </c>
      <c r="U20" s="85">
        <v>462.57219382624601</v>
      </c>
    </row>
    <row r="21" spans="2:21" ht="16">
      <c r="B21" s="188" t="s">
        <v>36</v>
      </c>
      <c r="C21" s="75">
        <v>252946</v>
      </c>
      <c r="D21" s="75">
        <v>260025.60000000001</v>
      </c>
      <c r="E21" s="75">
        <v>243136</v>
      </c>
      <c r="F21" s="75">
        <v>267954.09999999998</v>
      </c>
      <c r="G21" s="75">
        <v>306217</v>
      </c>
      <c r="H21" s="75">
        <v>375.84433700775452</v>
      </c>
      <c r="I21" s="75">
        <v>371.18523178329019</v>
      </c>
      <c r="J21" s="75">
        <v>292.17205408288413</v>
      </c>
      <c r="K21" s="75">
        <v>282.6806692656952</v>
      </c>
      <c r="L21" s="75">
        <v>324.74642082712313</v>
      </c>
      <c r="M21" s="75">
        <v>300.02041258772562</v>
      </c>
      <c r="N21" s="75">
        <v>387.94311992926333</v>
      </c>
      <c r="O21" s="75">
        <v>343.08825591453416</v>
      </c>
      <c r="P21" s="75">
        <v>368.79176071388139</v>
      </c>
      <c r="Q21" s="75">
        <v>394.35193956403504</v>
      </c>
      <c r="R21" s="75">
        <v>349.01029272862058</v>
      </c>
      <c r="S21" s="75">
        <v>297.43548677215244</v>
      </c>
      <c r="T21" s="95">
        <v>387.65704110605731</v>
      </c>
      <c r="U21" s="95">
        <v>314.76349401976495</v>
      </c>
    </row>
    <row r="22" spans="2:21" ht="16">
      <c r="B22" s="188" t="s">
        <v>67</v>
      </c>
      <c r="C22" s="74">
        <v>274090.40000000002</v>
      </c>
      <c r="D22" s="74">
        <v>270944</v>
      </c>
      <c r="E22" s="74">
        <v>252833.6</v>
      </c>
      <c r="F22" s="74">
        <v>262104.8</v>
      </c>
      <c r="G22" s="74">
        <v>282815.7</v>
      </c>
      <c r="H22" s="75">
        <v>481.69840446215983</v>
      </c>
      <c r="I22" s="74">
        <v>486.00300823680027</v>
      </c>
      <c r="J22" s="74">
        <v>396.0015830371961</v>
      </c>
      <c r="K22" s="74">
        <v>384.9450923725359</v>
      </c>
      <c r="L22" s="74">
        <v>472.66997946093244</v>
      </c>
      <c r="M22" s="74">
        <v>367.63051710505539</v>
      </c>
      <c r="N22" s="74">
        <v>375.75990268698655</v>
      </c>
      <c r="O22" s="74">
        <v>574.63133858534695</v>
      </c>
      <c r="P22" s="74">
        <v>584.94668639946872</v>
      </c>
      <c r="Q22" s="74">
        <v>543.9762699685657</v>
      </c>
      <c r="R22" s="74">
        <v>447.76515990226284</v>
      </c>
      <c r="S22" s="74">
        <v>468.00137386228704</v>
      </c>
      <c r="T22" s="85">
        <v>566.3587785030245</v>
      </c>
      <c r="U22" s="85">
        <v>582.70000000000005</v>
      </c>
    </row>
    <row r="23" spans="2:21" ht="16">
      <c r="B23" s="188" t="s">
        <v>39</v>
      </c>
      <c r="C23" s="75">
        <v>320743.90000000002</v>
      </c>
      <c r="D23" s="75">
        <v>347396</v>
      </c>
      <c r="E23" s="75">
        <v>289725.59999999998</v>
      </c>
      <c r="F23" s="75">
        <v>305080</v>
      </c>
      <c r="G23" s="75">
        <v>342312.7</v>
      </c>
      <c r="H23" s="75">
        <v>386.97727918590255</v>
      </c>
      <c r="I23" s="75">
        <v>422.5413624687294</v>
      </c>
      <c r="J23" s="75">
        <v>383.67309148360255</v>
      </c>
      <c r="K23" s="75">
        <v>371.86791912772793</v>
      </c>
      <c r="L23" s="75">
        <v>368.91079283403383</v>
      </c>
      <c r="M23" s="75">
        <v>337.39105521214793</v>
      </c>
      <c r="N23" s="75">
        <v>304.91712690546774</v>
      </c>
      <c r="O23" s="75">
        <v>318.46373627937038</v>
      </c>
      <c r="P23" s="75">
        <v>321.2383523333275</v>
      </c>
      <c r="Q23" s="75">
        <v>355.15810229875962</v>
      </c>
      <c r="R23" s="75">
        <v>296.07497241274604</v>
      </c>
      <c r="S23" s="75">
        <v>279.25600808892972</v>
      </c>
      <c r="T23" s="95">
        <v>363.15012750655308</v>
      </c>
      <c r="U23" s="95">
        <v>308.637987013935</v>
      </c>
    </row>
    <row r="24" spans="2:21" ht="16">
      <c r="B24" s="188" t="s">
        <v>41</v>
      </c>
      <c r="C24" s="74">
        <v>226938.6</v>
      </c>
      <c r="D24" s="74">
        <v>222228</v>
      </c>
      <c r="E24" s="74">
        <v>232763.6</v>
      </c>
      <c r="F24" s="74">
        <v>234749.1</v>
      </c>
      <c r="G24" s="74">
        <v>286007.2</v>
      </c>
      <c r="H24" s="75">
        <v>429.23090754652821</v>
      </c>
      <c r="I24" s="74">
        <v>346.13009022806364</v>
      </c>
      <c r="J24" s="74">
        <v>262.41103851653571</v>
      </c>
      <c r="K24" s="74">
        <v>261.43920104310115</v>
      </c>
      <c r="L24" s="74">
        <v>289.39260311748865</v>
      </c>
      <c r="M24" s="74">
        <v>346.85113802620856</v>
      </c>
      <c r="N24" s="74">
        <v>257.49191540494621</v>
      </c>
      <c r="O24" s="74">
        <v>295.75791463587865</v>
      </c>
      <c r="P24" s="74">
        <v>329.84628253880737</v>
      </c>
      <c r="Q24" s="74">
        <v>309.37853904148642</v>
      </c>
      <c r="R24" s="74">
        <v>280.76067793167044</v>
      </c>
      <c r="S24" s="74">
        <v>254.00135301104868</v>
      </c>
      <c r="T24" s="85">
        <v>382.64428932906924</v>
      </c>
      <c r="U24" s="85">
        <v>296.13054941065559</v>
      </c>
    </row>
    <row r="25" spans="2:21" ht="16">
      <c r="B25" s="188" t="s">
        <v>44</v>
      </c>
      <c r="C25" s="74">
        <v>291060</v>
      </c>
      <c r="D25" s="74">
        <v>298504.09999999998</v>
      </c>
      <c r="E25" s="74">
        <v>340959.4</v>
      </c>
      <c r="F25" s="74">
        <v>329036.40000000002</v>
      </c>
      <c r="G25" s="74">
        <v>369359.4</v>
      </c>
      <c r="H25" s="75">
        <v>36.041496300798777</v>
      </c>
      <c r="I25" s="74">
        <v>42.774097685182589</v>
      </c>
      <c r="J25" s="501">
        <v>-57.858805197235519</v>
      </c>
      <c r="K25" s="502">
        <v>-81.067231977011872</v>
      </c>
      <c r="L25" s="502">
        <v>-70.802110072825741</v>
      </c>
      <c r="M25" s="502">
        <v>-105.03031163780851</v>
      </c>
      <c r="N25" s="502">
        <v>-146.96431987520401</v>
      </c>
      <c r="O25" s="502">
        <v>-99.831756112157052</v>
      </c>
      <c r="P25" s="502">
        <v>20.366903300477599</v>
      </c>
      <c r="Q25" s="502">
        <v>5.430152367642326</v>
      </c>
      <c r="R25" s="502">
        <v>-56.894645339746567</v>
      </c>
      <c r="S25" s="502">
        <v>-129.05585883044031</v>
      </c>
      <c r="T25" s="503">
        <v>13.640196554766099</v>
      </c>
      <c r="U25" s="503">
        <v>-66.654853761388068</v>
      </c>
    </row>
    <row r="26" spans="2:21" ht="16">
      <c r="B26" s="188" t="s">
        <v>46</v>
      </c>
      <c r="C26" s="70" t="s">
        <v>97</v>
      </c>
      <c r="D26" s="70"/>
      <c r="E26" s="70"/>
      <c r="F26" s="70"/>
      <c r="G26" s="70"/>
      <c r="H26" s="682" t="s">
        <v>97</v>
      </c>
      <c r="I26" s="683"/>
      <c r="J26" s="684"/>
      <c r="K26" s="70"/>
      <c r="L26" s="70"/>
      <c r="M26" s="70"/>
      <c r="N26" s="70"/>
      <c r="O26" s="70"/>
      <c r="P26" s="70"/>
      <c r="Q26" s="70"/>
      <c r="R26" s="70"/>
      <c r="S26" s="70"/>
      <c r="T26" s="86"/>
      <c r="U26" s="86"/>
    </row>
    <row r="27" spans="2:21" ht="16">
      <c r="B27" s="188" t="s">
        <v>49</v>
      </c>
      <c r="C27" s="74">
        <v>1273330.2</v>
      </c>
      <c r="D27" s="74">
        <v>1164509.6000000001</v>
      </c>
      <c r="E27" s="74">
        <v>1140327.8999999999</v>
      </c>
      <c r="F27" s="74">
        <v>1133206.5</v>
      </c>
      <c r="G27" s="74">
        <v>1057944.8999999999</v>
      </c>
      <c r="H27" s="75">
        <v>1617.7273518595809</v>
      </c>
      <c r="I27" s="74">
        <v>1382.729596113842</v>
      </c>
      <c r="J27" s="74">
        <v>1225.7624612762852</v>
      </c>
      <c r="K27" s="74">
        <v>1312.4249737215666</v>
      </c>
      <c r="L27" s="74">
        <v>1152.2563360988286</v>
      </c>
      <c r="M27" s="74">
        <v>996.64991869260496</v>
      </c>
      <c r="N27" s="74">
        <v>1098.4481763966676</v>
      </c>
      <c r="O27" s="74">
        <v>1069.6209620688758</v>
      </c>
      <c r="P27" s="74">
        <v>1077.3717597331256</v>
      </c>
      <c r="Q27" s="74">
        <v>1209.9408957544294</v>
      </c>
      <c r="R27" s="74">
        <v>1398.8170945713646</v>
      </c>
      <c r="S27" s="74">
        <v>1038.9669944984091</v>
      </c>
      <c r="T27" s="85">
        <v>1412.7934193286032</v>
      </c>
      <c r="U27" s="85">
        <v>1245.6507779653318</v>
      </c>
    </row>
    <row r="28" spans="2:21" ht="16">
      <c r="B28" s="188" t="s">
        <v>51</v>
      </c>
      <c r="C28" s="74">
        <v>1421161.4</v>
      </c>
      <c r="D28" s="74">
        <v>1372019.4</v>
      </c>
      <c r="E28" s="74">
        <v>1373093.5</v>
      </c>
      <c r="F28" s="74">
        <v>1297464.6000000001</v>
      </c>
      <c r="G28" s="74">
        <v>1469912.6</v>
      </c>
      <c r="H28" s="75">
        <v>1973.9887028405703</v>
      </c>
      <c r="I28" s="74">
        <v>2032.7018662344972</v>
      </c>
      <c r="J28" s="74">
        <v>1614.2438977469042</v>
      </c>
      <c r="K28" s="74">
        <v>1601.7238479242797</v>
      </c>
      <c r="L28" s="74">
        <v>1581.9762075780861</v>
      </c>
      <c r="M28" s="74">
        <v>1475.7932408214619</v>
      </c>
      <c r="N28" s="74">
        <v>1458.4510437952274</v>
      </c>
      <c r="O28" s="74">
        <v>1609.2356428383962</v>
      </c>
      <c r="P28" s="74">
        <v>1748.2674342446494</v>
      </c>
      <c r="Q28" s="74">
        <v>1955.1007433585212</v>
      </c>
      <c r="R28" s="74">
        <v>1505.3709432131075</v>
      </c>
      <c r="S28" s="74">
        <v>1158.4289742679371</v>
      </c>
      <c r="T28" s="85">
        <v>1631.9583362828484</v>
      </c>
      <c r="U28" s="85">
        <v>1348.2539534253929</v>
      </c>
    </row>
    <row r="29" spans="2:21" ht="16">
      <c r="B29" s="188" t="s">
        <v>53</v>
      </c>
      <c r="C29" s="74">
        <v>887964.6</v>
      </c>
      <c r="D29" s="74">
        <v>956144.2</v>
      </c>
      <c r="E29" s="74">
        <v>1312058.3999999999</v>
      </c>
      <c r="F29" s="74">
        <v>1399713.8</v>
      </c>
      <c r="G29" s="74">
        <v>1274704.1000000001</v>
      </c>
      <c r="H29" s="75">
        <v>1371.1355506649286</v>
      </c>
      <c r="I29" s="74">
        <v>1387.8176233762567</v>
      </c>
      <c r="J29" s="74">
        <v>1186.2930073830591</v>
      </c>
      <c r="K29" s="74">
        <v>1177.0569548035087</v>
      </c>
      <c r="L29" s="74">
        <v>1098.49360858057</v>
      </c>
      <c r="M29" s="74">
        <v>1032.1854158417057</v>
      </c>
      <c r="N29" s="74">
        <v>1122.7812025268975</v>
      </c>
      <c r="O29" s="74">
        <v>1280.835849792895</v>
      </c>
      <c r="P29" s="74">
        <v>1209.0553164393855</v>
      </c>
      <c r="Q29" s="74">
        <v>1253.2037516914525</v>
      </c>
      <c r="R29" s="74">
        <v>1078.3929800924925</v>
      </c>
      <c r="S29" s="74">
        <v>779.89923477913283</v>
      </c>
      <c r="T29" s="85">
        <v>1419.3175601044152</v>
      </c>
      <c r="U29" s="85">
        <v>1113.5630722293899</v>
      </c>
    </row>
    <row r="30" spans="2:21" ht="16">
      <c r="B30" s="188" t="s">
        <v>55</v>
      </c>
      <c r="C30" s="74">
        <v>1328591.8999999999</v>
      </c>
      <c r="D30" s="74">
        <v>1322764</v>
      </c>
      <c r="E30" s="74">
        <v>1210203.8999999999</v>
      </c>
      <c r="F30" s="74">
        <v>1191870.5</v>
      </c>
      <c r="G30" s="74">
        <v>1132853.1000000001</v>
      </c>
      <c r="H30" s="75">
        <v>1526.1751751878639</v>
      </c>
      <c r="I30" s="74">
        <v>1421.7395580670459</v>
      </c>
      <c r="J30" s="74">
        <v>1111.7851185384984</v>
      </c>
      <c r="K30" s="74">
        <v>1283.9325194724076</v>
      </c>
      <c r="L30" s="74">
        <v>1335.2868102568193</v>
      </c>
      <c r="M30" s="74">
        <v>1977.7494331455644</v>
      </c>
      <c r="N30" s="74">
        <v>1374.8394065958057</v>
      </c>
      <c r="O30" s="74">
        <v>1360.4639054410113</v>
      </c>
      <c r="P30" s="74">
        <v>1370.4335089743702</v>
      </c>
      <c r="Q30" s="74">
        <v>994.0217735579439</v>
      </c>
      <c r="R30" s="74">
        <v>1077.0843196780954</v>
      </c>
      <c r="S30" s="74">
        <v>1008.4847644894926</v>
      </c>
      <c r="T30" s="85">
        <v>1488.4377411824203</v>
      </c>
      <c r="U30" s="85">
        <v>1347.6379606359565</v>
      </c>
    </row>
    <row r="31" spans="2:21" ht="16">
      <c r="B31" s="188" t="s">
        <v>57</v>
      </c>
      <c r="C31" s="74">
        <v>949506.9</v>
      </c>
      <c r="D31" s="74">
        <v>946348.6</v>
      </c>
      <c r="E31" s="74">
        <v>906338.6</v>
      </c>
      <c r="F31" s="74">
        <v>864056.4</v>
      </c>
      <c r="G31" s="74">
        <v>1109269.2</v>
      </c>
      <c r="H31" s="75">
        <v>1347.9067760759774</v>
      </c>
      <c r="I31" s="74">
        <v>1367.6885336476221</v>
      </c>
      <c r="J31" s="74">
        <v>1132.9539814322588</v>
      </c>
      <c r="K31" s="74">
        <v>1111.5218957616357</v>
      </c>
      <c r="L31" s="74">
        <v>1167.0223534903248</v>
      </c>
      <c r="M31" s="74">
        <v>1153.3044754740579</v>
      </c>
      <c r="N31" s="74">
        <v>1017.8294786143598</v>
      </c>
      <c r="O31" s="74">
        <v>1179.2276454999969</v>
      </c>
      <c r="P31" s="74">
        <v>1329.2574521235003</v>
      </c>
      <c r="Q31" s="74">
        <v>1222.5170805718381</v>
      </c>
      <c r="R31" s="74">
        <v>1105.5593580368927</v>
      </c>
      <c r="S31" s="74">
        <v>934.86017746229777</v>
      </c>
      <c r="T31" s="85">
        <v>1247.4520399011783</v>
      </c>
      <c r="U31" s="85">
        <v>1525.9445636466937</v>
      </c>
    </row>
    <row r="32" spans="2:21" ht="16">
      <c r="B32" s="188" t="s">
        <v>68</v>
      </c>
      <c r="C32" s="74">
        <v>228266.7</v>
      </c>
      <c r="D32" s="74">
        <v>256106.6</v>
      </c>
      <c r="E32" s="74">
        <v>272702.90000000002</v>
      </c>
      <c r="F32" s="74">
        <v>300609.59999999998</v>
      </c>
      <c r="G32" s="74">
        <v>279919.3</v>
      </c>
      <c r="H32" s="75">
        <v>422.25300889512198</v>
      </c>
      <c r="I32" s="74">
        <v>411.34283303325566</v>
      </c>
      <c r="J32" s="74">
        <v>339.56935733195888</v>
      </c>
      <c r="K32" s="74">
        <v>361.4617976914451</v>
      </c>
      <c r="L32" s="74">
        <v>352.18672131671764</v>
      </c>
      <c r="M32" s="74">
        <v>360.37200741651094</v>
      </c>
      <c r="N32" s="74">
        <v>323.79811848051497</v>
      </c>
      <c r="O32" s="74">
        <v>331.31482348778621</v>
      </c>
      <c r="P32" s="74">
        <v>369.94250236336194</v>
      </c>
      <c r="Q32" s="74">
        <v>399.77903567143596</v>
      </c>
      <c r="R32" s="74">
        <v>334.80611176721197</v>
      </c>
      <c r="S32" s="74">
        <v>272.94200450491002</v>
      </c>
      <c r="T32" s="85">
        <v>361.90678096120013</v>
      </c>
      <c r="U32" s="85">
        <v>317.94807994350947</v>
      </c>
    </row>
    <row r="33" spans="2:21" ht="16">
      <c r="B33" s="188" t="s">
        <v>59</v>
      </c>
      <c r="C33" s="74">
        <v>4214606.5</v>
      </c>
      <c r="D33" s="74">
        <v>4253330.4000000004</v>
      </c>
      <c r="E33" s="74">
        <v>4487304.2</v>
      </c>
      <c r="F33" s="74">
        <v>4620267.9000000004</v>
      </c>
      <c r="G33" s="74">
        <v>4826506.0999999996</v>
      </c>
      <c r="H33" s="75">
        <v>4962.1586735769642</v>
      </c>
      <c r="I33" s="74">
        <v>4697.1849708405334</v>
      </c>
      <c r="J33" s="74">
        <v>4255.9054084133522</v>
      </c>
      <c r="K33" s="74">
        <v>4486.9893205085409</v>
      </c>
      <c r="L33" s="74">
        <v>4241.4082045232444</v>
      </c>
      <c r="M33" s="74">
        <v>4305.14110795748</v>
      </c>
      <c r="N33" s="74">
        <v>3690.818093066925</v>
      </c>
      <c r="O33" s="74">
        <v>4134.2849081197073</v>
      </c>
      <c r="P33" s="74">
        <v>3852.1391511074316</v>
      </c>
      <c r="Q33" s="74">
        <v>3994.5513384029264</v>
      </c>
      <c r="R33" s="74">
        <v>3704.0454236048504</v>
      </c>
      <c r="S33" s="74">
        <v>2667.9223751666641</v>
      </c>
      <c r="T33" s="85">
        <v>3583.7167684533879</v>
      </c>
      <c r="U33" s="85">
        <v>2879.5807371298511</v>
      </c>
    </row>
    <row r="34" spans="2:21" ht="16">
      <c r="B34" s="188" t="s">
        <v>61</v>
      </c>
      <c r="C34" s="74">
        <v>4227895.7</v>
      </c>
      <c r="D34" s="74">
        <v>4177114.3</v>
      </c>
      <c r="E34" s="74">
        <v>4420321.5</v>
      </c>
      <c r="F34" s="74">
        <v>4502082.4000000004</v>
      </c>
      <c r="G34" s="74">
        <v>4505429.5999999996</v>
      </c>
      <c r="H34" s="75">
        <v>4624.5537682161503</v>
      </c>
      <c r="I34" s="74">
        <v>4573.737923040343</v>
      </c>
      <c r="J34" s="74">
        <v>3785.8589061747389</v>
      </c>
      <c r="K34" s="74">
        <v>4420.813891770058</v>
      </c>
      <c r="L34" s="74">
        <v>4250.0639577945767</v>
      </c>
      <c r="M34" s="74">
        <v>3613.1405515946649</v>
      </c>
      <c r="N34" s="74">
        <v>3339.6099803705256</v>
      </c>
      <c r="O34" s="74">
        <v>3517.2844525521473</v>
      </c>
      <c r="P34" s="74">
        <v>3668.8889613578981</v>
      </c>
      <c r="Q34" s="74">
        <v>3797.1240652583188</v>
      </c>
      <c r="R34" s="74">
        <v>3340.2547767303049</v>
      </c>
      <c r="S34" s="74">
        <v>2714.6236704954731</v>
      </c>
      <c r="T34" s="85">
        <v>3505.0303750309231</v>
      </c>
      <c r="U34" s="85">
        <v>3429.2742902723348</v>
      </c>
    </row>
    <row r="35" spans="2:21" ht="16">
      <c r="B35" s="188" t="s">
        <v>95</v>
      </c>
      <c r="C35" s="74">
        <v>299649</v>
      </c>
      <c r="D35" s="74">
        <v>274436</v>
      </c>
      <c r="E35" s="74">
        <v>277200</v>
      </c>
      <c r="F35" s="74">
        <v>330740.59999999998</v>
      </c>
      <c r="G35" s="74">
        <v>362795.9</v>
      </c>
      <c r="H35" s="75">
        <v>597.14174205343579</v>
      </c>
      <c r="I35" s="74">
        <v>602.05441195977357</v>
      </c>
      <c r="J35" s="74">
        <v>436.05535622126786</v>
      </c>
      <c r="K35" s="74">
        <v>434.80118419183503</v>
      </c>
      <c r="L35" s="74">
        <v>402.29148921860633</v>
      </c>
      <c r="M35" s="74">
        <v>376.2287542839158</v>
      </c>
      <c r="N35" s="74">
        <v>378.24820276479477</v>
      </c>
      <c r="O35" s="74">
        <v>420.46764630054707</v>
      </c>
      <c r="P35" s="74">
        <v>431.53780690695498</v>
      </c>
      <c r="Q35" s="74">
        <v>461.36680599092472</v>
      </c>
      <c r="R35" s="74">
        <v>397.46806238394606</v>
      </c>
      <c r="S35" s="74">
        <v>329.6193477917185</v>
      </c>
      <c r="T35" s="85">
        <v>477.16103760932185</v>
      </c>
      <c r="U35" s="85">
        <v>378.46179492646922</v>
      </c>
    </row>
    <row r="36" spans="2:21" ht="16">
      <c r="B36" s="188" t="s">
        <v>65</v>
      </c>
      <c r="C36" s="70" t="s">
        <v>98</v>
      </c>
      <c r="D36" s="70"/>
      <c r="E36" s="70"/>
      <c r="F36" s="70"/>
      <c r="G36" s="71">
        <v>6375689.4000000004</v>
      </c>
      <c r="H36" s="72">
        <v>4438.951592160558</v>
      </c>
      <c r="I36" s="71">
        <v>4639.6013035282649</v>
      </c>
      <c r="J36" s="71">
        <v>4054.7137508020137</v>
      </c>
      <c r="K36" s="71">
        <v>4807.3490902968806</v>
      </c>
      <c r="L36" s="71">
        <v>4842.5360396987508</v>
      </c>
      <c r="M36" s="71">
        <v>4518.1540359454539</v>
      </c>
      <c r="N36" s="71">
        <v>4007.1332922241991</v>
      </c>
      <c r="O36" s="71">
        <v>3759.7282240330355</v>
      </c>
      <c r="P36" s="71">
        <v>3309.0759694038179</v>
      </c>
      <c r="Q36" s="71">
        <v>3641.0522397204172</v>
      </c>
      <c r="R36" s="71">
        <v>3052.8024477236968</v>
      </c>
      <c r="S36" s="71">
        <v>3089.2513282830359</v>
      </c>
      <c r="T36" s="92">
        <v>6333.7175003722141</v>
      </c>
      <c r="U36" s="92">
        <v>4311.754490707156</v>
      </c>
    </row>
    <row r="37" spans="2:21" ht="16">
      <c r="B37" s="188" t="s">
        <v>5</v>
      </c>
      <c r="C37" s="71">
        <v>683845</v>
      </c>
      <c r="D37" s="71">
        <v>743023.2</v>
      </c>
      <c r="E37" s="71">
        <v>807375.9</v>
      </c>
      <c r="F37" s="71">
        <v>844678.3</v>
      </c>
      <c r="G37" s="71">
        <v>952591.5</v>
      </c>
      <c r="H37" s="72">
        <v>903.97675550171766</v>
      </c>
      <c r="I37" s="71">
        <v>921.14300644582624</v>
      </c>
      <c r="J37" s="71">
        <v>820.38796369538352</v>
      </c>
      <c r="K37" s="71">
        <v>830.18091089224049</v>
      </c>
      <c r="L37" s="71">
        <v>703.05443008501641</v>
      </c>
      <c r="M37" s="71">
        <v>680.60071226843002</v>
      </c>
      <c r="N37" s="71">
        <v>622.96100252810845</v>
      </c>
      <c r="O37" s="71">
        <v>636.79425747067262</v>
      </c>
      <c r="P37" s="71">
        <v>644.75744782541904</v>
      </c>
      <c r="Q37" s="71">
        <v>689.53926629162663</v>
      </c>
      <c r="R37" s="71">
        <v>581.76732892179189</v>
      </c>
      <c r="S37" s="71">
        <v>446.4650567368472</v>
      </c>
      <c r="T37" s="87">
        <v>533.97436610818477</v>
      </c>
      <c r="U37" s="87">
        <v>465.39343893553144</v>
      </c>
    </row>
    <row r="38" spans="2:21" ht="17" thickBot="1">
      <c r="B38" s="317" t="s">
        <v>48</v>
      </c>
      <c r="C38" s="80">
        <v>193280.2</v>
      </c>
      <c r="D38" s="80">
        <v>202852.9</v>
      </c>
      <c r="E38" s="80">
        <v>246727.2</v>
      </c>
      <c r="F38" s="80">
        <v>292768.7</v>
      </c>
      <c r="G38" s="80">
        <v>271227.8</v>
      </c>
      <c r="H38" s="81">
        <v>282.53969128107269</v>
      </c>
      <c r="I38" s="80">
        <v>346.5660916724994</v>
      </c>
      <c r="J38" s="80">
        <v>237.68702602601124</v>
      </c>
      <c r="K38" s="80">
        <v>231.10029520977821</v>
      </c>
      <c r="L38" s="80">
        <v>315.68831704368711</v>
      </c>
      <c r="M38" s="80">
        <v>273.3582536193378</v>
      </c>
      <c r="N38" s="80">
        <v>190.87211318828417</v>
      </c>
      <c r="O38" s="80">
        <v>202.93324294523782</v>
      </c>
      <c r="P38" s="80">
        <v>205.68834355301917</v>
      </c>
      <c r="Q38" s="80">
        <v>183.11503845163165</v>
      </c>
      <c r="R38" s="80">
        <v>148.53302550746915</v>
      </c>
      <c r="S38" s="80">
        <v>118.22833829451788</v>
      </c>
      <c r="T38" s="97">
        <v>162.78651628524653</v>
      </c>
      <c r="U38" s="97">
        <v>140.33176133988221</v>
      </c>
    </row>
    <row r="39" spans="2:21" ht="20" thickBot="1">
      <c r="B39" s="545" t="s">
        <v>96</v>
      </c>
      <c r="C39" s="546">
        <f t="shared" ref="C39:U39" si="1">SUM(C4:C38)</f>
        <v>22785448.299999997</v>
      </c>
      <c r="D39" s="546">
        <f t="shared" si="1"/>
        <v>22818046.299999997</v>
      </c>
      <c r="E39" s="546">
        <f t="shared" si="1"/>
        <v>23882231.199999999</v>
      </c>
      <c r="F39" s="546">
        <f t="shared" si="1"/>
        <v>24476602.5</v>
      </c>
      <c r="G39" s="546">
        <f t="shared" si="1"/>
        <v>31522466.699999999</v>
      </c>
      <c r="H39" s="547">
        <f t="shared" si="1"/>
        <v>33230.290620295083</v>
      </c>
      <c r="I39" s="547">
        <f t="shared" si="1"/>
        <v>32745.020426359948</v>
      </c>
      <c r="J39" s="547">
        <f t="shared" si="1"/>
        <v>27783.677894119595</v>
      </c>
      <c r="K39" s="547">
        <f t="shared" si="1"/>
        <v>29568.39779904961</v>
      </c>
      <c r="L39" s="547">
        <f t="shared" si="1"/>
        <v>29249.394626056946</v>
      </c>
      <c r="M39" s="547">
        <f t="shared" si="1"/>
        <v>28656.873913388397</v>
      </c>
      <c r="N39" s="547">
        <f t="shared" si="1"/>
        <v>25619.029076938394</v>
      </c>
      <c r="O39" s="547">
        <f t="shared" si="1"/>
        <v>27201.486316510625</v>
      </c>
      <c r="P39" s="547">
        <f t="shared" si="1"/>
        <v>27598.291112593579</v>
      </c>
      <c r="Q39" s="547">
        <f t="shared" si="1"/>
        <v>28429.435880562854</v>
      </c>
      <c r="R39" s="547">
        <f t="shared" si="1"/>
        <v>25338.289032379471</v>
      </c>
      <c r="S39" s="547">
        <f t="shared" si="1"/>
        <v>20397.345772719942</v>
      </c>
      <c r="T39" s="548">
        <f t="shared" si="1"/>
        <v>30529.56576834599</v>
      </c>
      <c r="U39" s="547">
        <f t="shared" si="1"/>
        <v>25554.968697088909</v>
      </c>
    </row>
  </sheetData>
  <mergeCells count="1">
    <mergeCell ref="H26:J26"/>
  </mergeCells>
  <conditionalFormatting sqref="H39:U39">
    <cfRule type="colorScale" priority="1">
      <colorScale>
        <cfvo type="min"/>
        <cfvo type="percentile" val="50"/>
        <cfvo type="max"/>
        <color rgb="FF63BE7B"/>
        <color rgb="FFFFEB84"/>
        <color rgb="FFF8696B"/>
      </colorScale>
    </cfRule>
  </conditionalFormatting>
  <pageMargins left="0.7" right="0.7" top="0.75" bottom="0.75" header="0.3" footer="0.3"/>
  <pageSetup scale="48" orientation="landscape"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FAD31-15DB-B94E-856C-D447677D34BE}">
  <sheetPr>
    <pageSetUpPr fitToPage="1"/>
  </sheetPr>
  <dimension ref="B1:U38"/>
  <sheetViews>
    <sheetView zoomScale="75" zoomScaleNormal="120" workbookViewId="0">
      <selection activeCell="W26" sqref="W26"/>
    </sheetView>
  </sheetViews>
  <sheetFormatPr baseColWidth="10" defaultRowHeight="15"/>
  <cols>
    <col min="2" max="2" width="36.5" customWidth="1"/>
    <col min="3" max="7" width="0" hidden="1" customWidth="1"/>
    <col min="8" max="19" width="14.5" customWidth="1"/>
    <col min="20" max="21" width="14.6640625" customWidth="1"/>
  </cols>
  <sheetData>
    <row r="1" spans="2:21" ht="16" thickBot="1"/>
    <row r="2" spans="2:21" ht="66" customHeight="1" thickBot="1">
      <c r="B2" s="716" t="s">
        <v>289</v>
      </c>
      <c r="C2" s="717"/>
      <c r="D2" s="717"/>
      <c r="E2" s="717"/>
      <c r="F2" s="717"/>
      <c r="G2" s="717"/>
      <c r="H2" s="717"/>
      <c r="I2" s="717"/>
      <c r="J2" s="717"/>
      <c r="K2" s="717"/>
      <c r="L2" s="718"/>
      <c r="M2" s="194"/>
      <c r="N2" s="194"/>
      <c r="O2" s="194"/>
      <c r="P2" s="194"/>
      <c r="Q2" s="194"/>
      <c r="R2" s="194"/>
      <c r="S2" s="252" t="s">
        <v>264</v>
      </c>
      <c r="T2" s="253" t="s">
        <v>160</v>
      </c>
      <c r="U2" s="419"/>
    </row>
    <row r="3" spans="2:21" ht="22" thickBot="1">
      <c r="B3" s="291" t="s">
        <v>90</v>
      </c>
      <c r="C3" s="292">
        <v>2005</v>
      </c>
      <c r="D3" s="292">
        <f>C3+1</f>
        <v>2006</v>
      </c>
      <c r="E3" s="292">
        <f t="shared" ref="E3:U3" si="0">D3+1</f>
        <v>2007</v>
      </c>
      <c r="F3" s="292">
        <f t="shared" si="0"/>
        <v>2008</v>
      </c>
      <c r="G3" s="292">
        <f t="shared" si="0"/>
        <v>2009</v>
      </c>
      <c r="H3" s="292">
        <f t="shared" si="0"/>
        <v>2010</v>
      </c>
      <c r="I3" s="292">
        <f t="shared" si="0"/>
        <v>2011</v>
      </c>
      <c r="J3" s="292">
        <f t="shared" si="0"/>
        <v>2012</v>
      </c>
      <c r="K3" s="292">
        <f t="shared" si="0"/>
        <v>2013</v>
      </c>
      <c r="L3" s="292">
        <f t="shared" si="0"/>
        <v>2014</v>
      </c>
      <c r="M3" s="292">
        <f t="shared" si="0"/>
        <v>2015</v>
      </c>
      <c r="N3" s="292">
        <f t="shared" si="0"/>
        <v>2016</v>
      </c>
      <c r="O3" s="292">
        <f t="shared" si="0"/>
        <v>2017</v>
      </c>
      <c r="P3" s="292">
        <f t="shared" si="0"/>
        <v>2018</v>
      </c>
      <c r="Q3" s="292">
        <f t="shared" si="0"/>
        <v>2019</v>
      </c>
      <c r="R3" s="292">
        <f t="shared" si="0"/>
        <v>2020</v>
      </c>
      <c r="S3" s="292">
        <f t="shared" si="0"/>
        <v>2021</v>
      </c>
      <c r="T3" s="293">
        <f t="shared" si="0"/>
        <v>2022</v>
      </c>
      <c r="U3" s="421">
        <f t="shared" si="0"/>
        <v>2023</v>
      </c>
    </row>
    <row r="4" spans="2:21" ht="16">
      <c r="B4" s="313" t="s">
        <v>1</v>
      </c>
      <c r="C4" s="314" t="s">
        <v>99</v>
      </c>
      <c r="D4" s="314"/>
      <c r="E4" s="178">
        <v>532563.6</v>
      </c>
      <c r="F4" s="178">
        <v>539825.4</v>
      </c>
      <c r="G4" s="178">
        <v>590592</v>
      </c>
      <c r="H4" s="496">
        <f>'Total MT CO2eq'!H4/Enrollment!H4</f>
        <v>1.1280079739517079</v>
      </c>
      <c r="I4" s="497">
        <f>'Total MT CO2eq'!I4/Enrollment!I4</f>
        <v>0.76981439917535233</v>
      </c>
      <c r="J4" s="496">
        <f>'Total MT CO2eq'!J4/Enrollment!J4</f>
        <v>0.92252520833370077</v>
      </c>
      <c r="K4" s="496">
        <f>'Total MT CO2eq'!K4/Enrollment!K4</f>
        <v>0.6912745263849237</v>
      </c>
      <c r="L4" s="497">
        <f>'Total MT CO2eq'!L4/Enrollment!L4</f>
        <v>0.90624900664130248</v>
      </c>
      <c r="M4" s="496">
        <f>'Total MT CO2eq'!M4/Enrollment!M4</f>
        <v>0.78512844331749509</v>
      </c>
      <c r="N4" s="496">
        <f>'Total MT CO2eq'!N4/Enrollment!N4</f>
        <v>0.75954366258353201</v>
      </c>
      <c r="O4" s="497">
        <f>'Total MT CO2eq'!O4/Enrollment!O4</f>
        <v>0.92441730537618527</v>
      </c>
      <c r="P4" s="496">
        <f>'Total MT CO2eq'!P4/Enrollment!P4</f>
        <v>1.0091571512900182</v>
      </c>
      <c r="Q4" s="496">
        <f>'Total MT CO2eq'!Q4/Enrollment!Q4</f>
        <v>1.0723679045300218</v>
      </c>
      <c r="R4" s="497">
        <f>'Total MT CO2eq'!R4/Enrollment!R4</f>
        <v>1.054053300662575</v>
      </c>
      <c r="S4" s="496">
        <f>'Total MT CO2eq'!S4/Enrollment!S4</f>
        <v>0.78427605439252712</v>
      </c>
      <c r="T4" s="496">
        <f>'Total MT CO2eq'!T4/Enrollment!T4</f>
        <v>1.0348477377916594</v>
      </c>
      <c r="U4" s="614">
        <f>'Total MT CO2eq'!U4/Enrollment!U4</f>
        <v>0.8421851532508613</v>
      </c>
    </row>
    <row r="5" spans="2:21" ht="16">
      <c r="B5" s="373" t="s">
        <v>265</v>
      </c>
      <c r="C5" s="74">
        <v>314466.8</v>
      </c>
      <c r="D5" s="74">
        <v>309749</v>
      </c>
      <c r="E5" s="74">
        <v>259029.7</v>
      </c>
      <c r="F5" s="74">
        <v>284351.2</v>
      </c>
      <c r="G5" s="74">
        <v>319561.3</v>
      </c>
      <c r="H5" s="498">
        <f>'Total MT CO2eq'!H5/Enrollment!H5</f>
        <v>1.2922610351969541</v>
      </c>
      <c r="I5" s="446">
        <f>'Total MT CO2eq'!I5/Enrollment!I5</f>
        <v>1.2445375277185093</v>
      </c>
      <c r="J5" s="498">
        <f>'Total MT CO2eq'!J5/Enrollment!J5</f>
        <v>1.0443597183807767</v>
      </c>
      <c r="K5" s="446">
        <f>'Total MT CO2eq'!K5/Enrollment!K5</f>
        <v>1.0544481489707267</v>
      </c>
      <c r="L5" s="498">
        <f>'Total MT CO2eq'!L5/Enrollment!L5</f>
        <v>1.094154080300753</v>
      </c>
      <c r="M5" s="446">
        <f>'Total MT CO2eq'!M5/Enrollment!M5</f>
        <v>1.0667887432991487</v>
      </c>
      <c r="N5" s="498">
        <f>'Total MT CO2eq'!N5/Enrollment!N5</f>
        <v>0.98380972380611798</v>
      </c>
      <c r="O5" s="446">
        <f>'Total MT CO2eq'!O5/Enrollment!O5</f>
        <v>1.0557451824789112</v>
      </c>
      <c r="P5" s="498">
        <f>'Total MT CO2eq'!P5/Enrollment!P5</f>
        <v>1.0387730381557998</v>
      </c>
      <c r="Q5" s="446">
        <f>'Total MT CO2eq'!Q5/Enrollment!Q5</f>
        <v>1.5543211425351977</v>
      </c>
      <c r="R5" s="498">
        <f>'Total MT CO2eq'!R5/Enrollment!R5</f>
        <v>1.5853813671135093</v>
      </c>
      <c r="S5" s="446">
        <f>'Total MT CO2eq'!S5/Enrollment!S5</f>
        <v>0.83061859846236941</v>
      </c>
      <c r="T5" s="498">
        <f>'Total MT CO2eq'!T5/Enrollment!T5</f>
        <v>1.0115568114649474</v>
      </c>
      <c r="U5" s="609">
        <f>'Total MT CO2eq'!U5/Enrollment!U5</f>
        <v>0.8157737743092407</v>
      </c>
    </row>
    <row r="6" spans="2:21" ht="16">
      <c r="B6" s="373" t="s">
        <v>7</v>
      </c>
      <c r="C6" s="71">
        <v>350935.6</v>
      </c>
      <c r="D6" s="71">
        <v>337195.8</v>
      </c>
      <c r="E6" s="71">
        <v>375470.9</v>
      </c>
      <c r="F6" s="71">
        <v>374465.6</v>
      </c>
      <c r="G6" s="71">
        <v>359130.4</v>
      </c>
      <c r="H6" s="611">
        <f>'Total MT CO2eq'!H6/Enrollment!H6</f>
        <v>1.1452859168017666</v>
      </c>
      <c r="I6" s="612">
        <f>'Total MT CO2eq'!I6/Enrollment!I6</f>
        <v>1.1444849901432996</v>
      </c>
      <c r="J6" s="611">
        <f>'Total MT CO2eq'!J6/Enrollment!J6</f>
        <v>1.0086258949273035</v>
      </c>
      <c r="K6" s="611">
        <f>'Total MT CO2eq'!K6/Enrollment!K6</f>
        <v>1.0596298609036632</v>
      </c>
      <c r="L6" s="612">
        <f>'Total MT CO2eq'!L6/Enrollment!L6</f>
        <v>1.122611315844243</v>
      </c>
      <c r="M6" s="611">
        <f>'Total MT CO2eq'!M6/Enrollment!M6</f>
        <v>1.0214047519227978</v>
      </c>
      <c r="N6" s="611">
        <f>'Total MT CO2eq'!N6/Enrollment!N6</f>
        <v>0.94314726452802655</v>
      </c>
      <c r="O6" s="612">
        <f>'Total MT CO2eq'!O6/Enrollment!O6</f>
        <v>0.99677779083315421</v>
      </c>
      <c r="P6" s="611">
        <f>'Total MT CO2eq'!P6/Enrollment!P6</f>
        <v>1.1734872494571449</v>
      </c>
      <c r="Q6" s="611">
        <f>'Total MT CO2eq'!Q6/Enrollment!Q6</f>
        <v>1.2160312740958816</v>
      </c>
      <c r="R6" s="612">
        <f>'Total MT CO2eq'!R6/Enrollment!R6</f>
        <v>1.0458370474473206</v>
      </c>
      <c r="S6" s="611">
        <f>'Total MT CO2eq'!S6/Enrollment!S6</f>
        <v>0.80433971697208961</v>
      </c>
      <c r="T6" s="611">
        <f>'Total MT CO2eq'!T6/Enrollment!T6</f>
        <v>1.3582995943938292</v>
      </c>
      <c r="U6" s="595">
        <f>'Total MT CO2eq'!U6/Enrollment!U6</f>
        <v>0.96719506126671961</v>
      </c>
    </row>
    <row r="7" spans="2:21" ht="16">
      <c r="B7" s="373" t="s">
        <v>9</v>
      </c>
      <c r="C7" s="72">
        <v>215760.3</v>
      </c>
      <c r="D7" s="72">
        <v>217423.2</v>
      </c>
      <c r="E7" s="72">
        <v>216437.6</v>
      </c>
      <c r="F7" s="72">
        <v>256057.1</v>
      </c>
      <c r="G7" s="72">
        <v>200338.9</v>
      </c>
      <c r="H7" s="498">
        <f>'Total MT CO2eq'!H7/Enrollment!H7</f>
        <v>1.0422391388997649</v>
      </c>
      <c r="I7" s="446">
        <f>'Total MT CO2eq'!I7/Enrollment!I7</f>
        <v>1.1310249770806609</v>
      </c>
      <c r="J7" s="498">
        <f>'Total MT CO2eq'!J7/Enrollment!J7</f>
        <v>0.99488103580272913</v>
      </c>
      <c r="K7" s="446">
        <f>'Total MT CO2eq'!K7/Enrollment!K7</f>
        <v>1.063163404346442</v>
      </c>
      <c r="L7" s="498">
        <f>'Total MT CO2eq'!L7/Enrollment!L7</f>
        <v>1.0065776448878865</v>
      </c>
      <c r="M7" s="446">
        <f>'Total MT CO2eq'!M7/Enrollment!M7</f>
        <v>0.92782389069882643</v>
      </c>
      <c r="N7" s="498">
        <f>'Total MT CO2eq'!N7/Enrollment!N7</f>
        <v>0.63818870486952262</v>
      </c>
      <c r="O7" s="446">
        <f>'Total MT CO2eq'!O7/Enrollment!O7</f>
        <v>0.7893271346225289</v>
      </c>
      <c r="P7" s="498">
        <f>'Total MT CO2eq'!P7/Enrollment!P7</f>
        <v>0.74991445496797082</v>
      </c>
      <c r="Q7" s="446">
        <f>'Total MT CO2eq'!Q7/Enrollment!Q7</f>
        <v>0.77549138153291808</v>
      </c>
      <c r="R7" s="498">
        <f>'Total MT CO2eq'!R7/Enrollment!R7</f>
        <v>0.79309491607627092</v>
      </c>
      <c r="S7" s="446">
        <f>'Total MT CO2eq'!S7/Enrollment!S7</f>
        <v>0.63643111964713017</v>
      </c>
      <c r="T7" s="498">
        <f>'Total MT CO2eq'!T7/Enrollment!T7</f>
        <v>1.3455719639902499</v>
      </c>
      <c r="U7" s="609">
        <f>'Total MT CO2eq'!U7/Enrollment!U7</f>
        <v>1.1587232640599452</v>
      </c>
    </row>
    <row r="8" spans="2:21" ht="16">
      <c r="B8" s="373" t="s">
        <v>11</v>
      </c>
      <c r="C8" s="71">
        <v>312771</v>
      </c>
      <c r="D8" s="71">
        <v>282627</v>
      </c>
      <c r="E8" s="71">
        <v>255272</v>
      </c>
      <c r="F8" s="71">
        <v>257901.4</v>
      </c>
      <c r="G8" s="71">
        <v>266605.2</v>
      </c>
      <c r="H8" s="611">
        <f>'Total MT CO2eq'!H8/Enrollment!H8</f>
        <v>1.3278083304805122</v>
      </c>
      <c r="I8" s="612">
        <f>'Total MT CO2eq'!I8/Enrollment!I8</f>
        <v>1.0724013182990608</v>
      </c>
      <c r="J8" s="611">
        <f>'Total MT CO2eq'!J8/Enrollment!J8</f>
        <v>0.83790185036699194</v>
      </c>
      <c r="K8" s="611">
        <f>'Total MT CO2eq'!K8/Enrollment!K8</f>
        <v>0.84129415561916854</v>
      </c>
      <c r="L8" s="612">
        <f>'Total MT CO2eq'!L8/Enrollment!L8</f>
        <v>0.96061924043353453</v>
      </c>
      <c r="M8" s="611">
        <f>'Total MT CO2eq'!M8/Enrollment!M8</f>
        <v>1.0048433260993725</v>
      </c>
      <c r="N8" s="611">
        <f>'Total MT CO2eq'!N8/Enrollment!N8</f>
        <v>0.8578501065607681</v>
      </c>
      <c r="O8" s="612">
        <f>'Total MT CO2eq'!O8/Enrollment!O8</f>
        <v>0.84093507048537386</v>
      </c>
      <c r="P8" s="611">
        <f>'Total MT CO2eq'!P8/Enrollment!P8</f>
        <v>0.9720483512984246</v>
      </c>
      <c r="Q8" s="611">
        <f>'Total MT CO2eq'!Q8/Enrollment!Q8</f>
        <v>1.0690919545885529</v>
      </c>
      <c r="R8" s="612">
        <f>'Total MT CO2eq'!R8/Enrollment!R8</f>
        <v>0.79212219431781294</v>
      </c>
      <c r="S8" s="611">
        <f>'Total MT CO2eq'!S8/Enrollment!S8</f>
        <v>0.75867360440886744</v>
      </c>
      <c r="T8" s="611">
        <f>'Total MT CO2eq'!T8/Enrollment!T8</f>
        <v>1.1461182451804826</v>
      </c>
      <c r="U8" s="595">
        <f>'Total MT CO2eq'!U8/Enrollment!U8</f>
        <v>0.97826200786620487</v>
      </c>
    </row>
    <row r="9" spans="2:21" ht="16">
      <c r="B9" s="373" t="s">
        <v>13</v>
      </c>
      <c r="C9" s="71">
        <v>520278.9</v>
      </c>
      <c r="D9" s="71">
        <v>518853.9</v>
      </c>
      <c r="E9" s="71">
        <v>481047.9</v>
      </c>
      <c r="F9" s="71">
        <v>519751.9</v>
      </c>
      <c r="G9" s="71">
        <v>522155.7</v>
      </c>
      <c r="H9" s="498">
        <f>'Total MT CO2eq'!H9/Enrollment!H9</f>
        <v>1.4280902171090957</v>
      </c>
      <c r="I9" s="446">
        <f>'Total MT CO2eq'!I9/Enrollment!I9</f>
        <v>1.124954511845778</v>
      </c>
      <c r="J9" s="498">
        <f>'Total MT CO2eq'!J9/Enrollment!J9</f>
        <v>1.0264039549788579</v>
      </c>
      <c r="K9" s="446">
        <f>'Total MT CO2eq'!K9/Enrollment!K9</f>
        <v>1.0906025918694322</v>
      </c>
      <c r="L9" s="498">
        <f>'Total MT CO2eq'!L9/Enrollment!L9</f>
        <v>1.0165532520696117</v>
      </c>
      <c r="M9" s="446">
        <f>'Total MT CO2eq'!M9/Enrollment!M9</f>
        <v>1.1146116460869377</v>
      </c>
      <c r="N9" s="498">
        <f>'Total MT CO2eq'!N9/Enrollment!N9</f>
        <v>1.0349490160702568</v>
      </c>
      <c r="O9" s="446">
        <f>'Total MT CO2eq'!O9/Enrollment!O9</f>
        <v>1.1938560512891303</v>
      </c>
      <c r="P9" s="498">
        <f>'Total MT CO2eq'!P9/Enrollment!P9</f>
        <v>1.4766347819602992</v>
      </c>
      <c r="Q9" s="446">
        <f>'Total MT CO2eq'!Q9/Enrollment!Q9</f>
        <v>1.5169734990922599</v>
      </c>
      <c r="R9" s="498">
        <f>'Total MT CO2eq'!R9/Enrollment!R9</f>
        <v>1.2813705357027882</v>
      </c>
      <c r="S9" s="446">
        <f>'Total MT CO2eq'!S9/Enrollment!S9</f>
        <v>0.99181200572966211</v>
      </c>
      <c r="T9" s="498">
        <f>'Total MT CO2eq'!T9/Enrollment!T9</f>
        <v>1.2816105672389504</v>
      </c>
      <c r="U9" s="609">
        <f>'Total MT CO2eq'!U9/Enrollment!U9</f>
        <v>1.6659607236672864</v>
      </c>
    </row>
    <row r="10" spans="2:21" ht="16">
      <c r="B10" s="373" t="s">
        <v>15</v>
      </c>
      <c r="C10" s="72">
        <v>330152</v>
      </c>
      <c r="D10" s="72">
        <v>301427.59999999998</v>
      </c>
      <c r="E10" s="72">
        <v>279136</v>
      </c>
      <c r="F10" s="72">
        <v>286067</v>
      </c>
      <c r="G10" s="72">
        <v>266659.40000000002</v>
      </c>
      <c r="H10" s="611">
        <f>'Total MT CO2eq'!H10/Enrollment!H10</f>
        <v>0.76283600612143032</v>
      </c>
      <c r="I10" s="612">
        <f>'Total MT CO2eq'!I10/Enrollment!I10</f>
        <v>0.73019734385769186</v>
      </c>
      <c r="J10" s="611">
        <f>'Total MT CO2eq'!J10/Enrollment!J10</f>
        <v>0.61085563488518746</v>
      </c>
      <c r="K10" s="611">
        <f>'Total MT CO2eq'!K10/Enrollment!K10</f>
        <v>0.61708597587903191</v>
      </c>
      <c r="L10" s="612">
        <f>'Total MT CO2eq'!L10/Enrollment!L10</f>
        <v>0.63471804898268747</v>
      </c>
      <c r="M10" s="611">
        <f>'Total MT CO2eq'!M10/Enrollment!M10</f>
        <v>0.96975480006758874</v>
      </c>
      <c r="N10" s="611">
        <f>'Total MT CO2eq'!N10/Enrollment!N10</f>
        <v>0.96438042667192525</v>
      </c>
      <c r="O10" s="612">
        <f>'Total MT CO2eq'!O10/Enrollment!O10</f>
        <v>0.81882238806922725</v>
      </c>
      <c r="P10" s="611">
        <f>'Total MT CO2eq'!P10/Enrollment!P10</f>
        <v>0.68376277599286039</v>
      </c>
      <c r="Q10" s="611">
        <f>'Total MT CO2eq'!Q10/Enrollment!Q10</f>
        <v>0.75006833166174747</v>
      </c>
      <c r="R10" s="612">
        <f>'Total MT CO2eq'!R10/Enrollment!R10</f>
        <v>0.86400175110010524</v>
      </c>
      <c r="S10" s="611">
        <f>'Total MT CO2eq'!S10/Enrollment!S10</f>
        <v>0.73885278937454368</v>
      </c>
      <c r="T10" s="611">
        <f>'Total MT CO2eq'!T10/Enrollment!T10</f>
        <v>1.0180043912120813</v>
      </c>
      <c r="U10" s="595">
        <f>'Total MT CO2eq'!U10/Enrollment!U10</f>
        <v>0.83693504430544985</v>
      </c>
    </row>
    <row r="11" spans="2:21" ht="16">
      <c r="B11" s="373" t="s">
        <v>17</v>
      </c>
      <c r="C11" s="72">
        <v>283760.2</v>
      </c>
      <c r="D11" s="72">
        <v>295918.59999999998</v>
      </c>
      <c r="E11" s="72">
        <v>278884.8</v>
      </c>
      <c r="F11" s="72">
        <v>298551.2</v>
      </c>
      <c r="G11" s="72">
        <v>280048.2</v>
      </c>
      <c r="H11" s="498">
        <f>'Total MT CO2eq'!H11/Enrollment!H11</f>
        <v>1.3133673599196107</v>
      </c>
      <c r="I11" s="446">
        <f>'Total MT CO2eq'!I11/Enrollment!I11</f>
        <v>1.1555461739877011</v>
      </c>
      <c r="J11" s="498">
        <f>'Total MT CO2eq'!J11/Enrollment!J11</f>
        <v>0.87471049355981079</v>
      </c>
      <c r="K11" s="446">
        <f>'Total MT CO2eq'!K11/Enrollment!K11</f>
        <v>0.99374569939526625</v>
      </c>
      <c r="L11" s="498">
        <f>'Total MT CO2eq'!L11/Enrollment!L11</f>
        <v>0.99951279999117026</v>
      </c>
      <c r="M11" s="446">
        <f>'Total MT CO2eq'!M11/Enrollment!M11</f>
        <v>0.90065681903636197</v>
      </c>
      <c r="N11" s="498">
        <f>'Total MT CO2eq'!N11/Enrollment!N11</f>
        <v>0.75126332728521239</v>
      </c>
      <c r="O11" s="446">
        <f>'Total MT CO2eq'!O11/Enrollment!O11</f>
        <v>0.82208400460672071</v>
      </c>
      <c r="P11" s="498">
        <f>'Total MT CO2eq'!P11/Enrollment!P11</f>
        <v>0.87275088527529554</v>
      </c>
      <c r="Q11" s="446">
        <f>'Total MT CO2eq'!Q11/Enrollment!Q11</f>
        <v>0.89427066584760595</v>
      </c>
      <c r="R11" s="498">
        <f>'Total MT CO2eq'!R11/Enrollment!R11</f>
        <v>0.7159704021796881</v>
      </c>
      <c r="S11" s="446">
        <f>'Total MT CO2eq'!S11/Enrollment!S11</f>
        <v>0.61966972322674019</v>
      </c>
      <c r="T11" s="498">
        <f>'Total MT CO2eq'!T11/Enrollment!T11</f>
        <v>0.70618431036330398</v>
      </c>
      <c r="U11" s="609">
        <f>'Total MT CO2eq'!U11/Enrollment!U11</f>
        <v>0.7588771404332032</v>
      </c>
    </row>
    <row r="12" spans="2:21" ht="16">
      <c r="B12" s="373" t="s">
        <v>19</v>
      </c>
      <c r="C12" s="75">
        <v>228168.3</v>
      </c>
      <c r="D12" s="75">
        <v>234944</v>
      </c>
      <c r="E12" s="75">
        <v>237884.79999999999</v>
      </c>
      <c r="F12" s="75">
        <v>258301.4</v>
      </c>
      <c r="G12" s="75">
        <v>249443.4</v>
      </c>
      <c r="H12" s="611">
        <f>'Total MT CO2eq'!H12/Enrollment!H12</f>
        <v>0.86025354775684737</v>
      </c>
      <c r="I12" s="612">
        <f>'Total MT CO2eq'!I12/Enrollment!I12</f>
        <v>0.94111666401651561</v>
      </c>
      <c r="J12" s="611">
        <f>'Total MT CO2eq'!J12/Enrollment!J12</f>
        <v>0.71638595979863762</v>
      </c>
      <c r="K12" s="611">
        <f>'Total MT CO2eq'!K12/Enrollment!K12</f>
        <v>0.66203853400910828</v>
      </c>
      <c r="L12" s="612">
        <f>'Total MT CO2eq'!L12/Enrollment!L12</f>
        <v>0.73108547282730096</v>
      </c>
      <c r="M12" s="611">
        <f>'Total MT CO2eq'!M12/Enrollment!M12</f>
        <v>0.69685073324507163</v>
      </c>
      <c r="N12" s="611">
        <f>'Total MT CO2eq'!N12/Enrollment!N12</f>
        <v>0.6883562398154679</v>
      </c>
      <c r="O12" s="612">
        <f>'Total MT CO2eq'!O12/Enrollment!O12</f>
        <v>0.76917820058060427</v>
      </c>
      <c r="P12" s="611">
        <f>'Total MT CO2eq'!P12/Enrollment!P12</f>
        <v>0.84400565763521063</v>
      </c>
      <c r="Q12" s="611">
        <f>'Total MT CO2eq'!Q12/Enrollment!Q12</f>
        <v>0.85040556475282703</v>
      </c>
      <c r="R12" s="612">
        <f>'Total MT CO2eq'!R12/Enrollment!R12</f>
        <v>0.72571194840235154</v>
      </c>
      <c r="S12" s="611">
        <f>'Total MT CO2eq'!S12/Enrollment!S12</f>
        <v>0.61720351496067527</v>
      </c>
      <c r="T12" s="611">
        <f>'Total MT CO2eq'!T12/Enrollment!T12</f>
        <v>1.1859669426106083</v>
      </c>
      <c r="U12" s="595">
        <f>'Total MT CO2eq'!U12/Enrollment!U12</f>
        <v>0.85544800438159629</v>
      </c>
    </row>
    <row r="13" spans="2:21" ht="16">
      <c r="B13" s="373" t="s">
        <v>21</v>
      </c>
      <c r="C13" s="71">
        <v>311278</v>
      </c>
      <c r="D13" s="71">
        <v>301547.59999999998</v>
      </c>
      <c r="E13" s="71">
        <v>302082.40000000002</v>
      </c>
      <c r="F13" s="71">
        <v>301331.90000000002</v>
      </c>
      <c r="G13" s="71">
        <v>314840.7</v>
      </c>
      <c r="H13" s="70" t="s">
        <v>253</v>
      </c>
      <c r="I13" s="70" t="s">
        <v>253</v>
      </c>
      <c r="J13" s="70" t="s">
        <v>253</v>
      </c>
      <c r="K13" s="70" t="s">
        <v>253</v>
      </c>
      <c r="L13" s="70" t="s">
        <v>253</v>
      </c>
      <c r="M13" s="70" t="s">
        <v>253</v>
      </c>
      <c r="N13" s="70" t="s">
        <v>253</v>
      </c>
      <c r="O13" s="70" t="s">
        <v>253</v>
      </c>
      <c r="P13" s="70" t="s">
        <v>253</v>
      </c>
      <c r="Q13" s="70" t="s">
        <v>253</v>
      </c>
      <c r="R13" s="70" t="s">
        <v>253</v>
      </c>
      <c r="S13" s="70" t="s">
        <v>253</v>
      </c>
      <c r="T13" s="70" t="s">
        <v>253</v>
      </c>
      <c r="U13" s="615" t="s">
        <v>253</v>
      </c>
    </row>
    <row r="14" spans="2:21" ht="16">
      <c r="B14" s="373" t="s">
        <v>23</v>
      </c>
      <c r="C14" s="74">
        <v>311676</v>
      </c>
      <c r="D14" s="74">
        <v>331103.40000000002</v>
      </c>
      <c r="E14" s="74">
        <v>288744.59999999998</v>
      </c>
      <c r="F14" s="74">
        <v>322270.3</v>
      </c>
      <c r="G14" s="74">
        <v>304967</v>
      </c>
      <c r="H14" s="611">
        <f>'Total MT CO2eq'!H14/Enrollment!H14</f>
        <v>1.3094871135765167</v>
      </c>
      <c r="I14" s="612">
        <f>'Total MT CO2eq'!I14/Enrollment!I14</f>
        <v>1.2258411985280682</v>
      </c>
      <c r="J14" s="611">
        <f>'Total MT CO2eq'!J14/Enrollment!J14</f>
        <v>0.83081581587507003</v>
      </c>
      <c r="K14" s="612">
        <f>'Total MT CO2eq'!K14/Enrollment!K14</f>
        <v>0.88132589437719633</v>
      </c>
      <c r="L14" s="611">
        <f>'Total MT CO2eq'!L14/Enrollment!L14</f>
        <v>1.0662896916112794</v>
      </c>
      <c r="M14" s="612">
        <f>'Total MT CO2eq'!M14/Enrollment!M14</f>
        <v>1.06769526566114</v>
      </c>
      <c r="N14" s="611">
        <f>'Total MT CO2eq'!N14/Enrollment!N14</f>
        <v>0.84831289328389448</v>
      </c>
      <c r="O14" s="612">
        <f>'Total MT CO2eq'!O14/Enrollment!O14</f>
        <v>0.98886028537663662</v>
      </c>
      <c r="P14" s="611">
        <f>'Total MT CO2eq'!P14/Enrollment!P14</f>
        <v>1.1793320656164421</v>
      </c>
      <c r="Q14" s="612">
        <f>'Total MT CO2eq'!Q14/Enrollment!Q14</f>
        <v>1.0231859112575055</v>
      </c>
      <c r="R14" s="611">
        <f>'Total MT CO2eq'!R14/Enrollment!R14</f>
        <v>0.83219115462645732</v>
      </c>
      <c r="S14" s="612">
        <f>'Total MT CO2eq'!S14/Enrollment!S14</f>
        <v>0.68668288239316866</v>
      </c>
      <c r="T14" s="611">
        <f>'Total MT CO2eq'!T14/Enrollment!T14</f>
        <v>1.2592268710764674</v>
      </c>
      <c r="U14" s="595">
        <f>'Total MT CO2eq'!U14/Enrollment!U14</f>
        <v>0.87667130321860032</v>
      </c>
    </row>
    <row r="15" spans="2:21" ht="16">
      <c r="B15" s="373" t="s">
        <v>25</v>
      </c>
      <c r="C15" s="74">
        <v>229439</v>
      </c>
      <c r="D15" s="74">
        <v>245465</v>
      </c>
      <c r="E15" s="74">
        <v>308911.90000000002</v>
      </c>
      <c r="F15" s="74">
        <v>297347.09999999998</v>
      </c>
      <c r="G15" s="74">
        <v>285802.90000000002</v>
      </c>
      <c r="H15" s="498">
        <f>'Total MT CO2eq'!H15/Enrollment!H15</f>
        <v>0.98607770712662324</v>
      </c>
      <c r="I15" s="446">
        <f>'Total MT CO2eq'!I15/Enrollment!I15</f>
        <v>0.97418428103008714</v>
      </c>
      <c r="J15" s="498">
        <f>'Total MT CO2eq'!J15/Enrollment!J15</f>
        <v>0.79435362509489105</v>
      </c>
      <c r="K15" s="446">
        <f>'Total MT CO2eq'!K15/Enrollment!K15</f>
        <v>0.82793417553914317</v>
      </c>
      <c r="L15" s="498">
        <f>'Total MT CO2eq'!L15/Enrollment!L15</f>
        <v>0.92598468855823901</v>
      </c>
      <c r="M15" s="446">
        <f>'Total MT CO2eq'!M15/Enrollment!M15</f>
        <v>0.96956227621869318</v>
      </c>
      <c r="N15" s="498">
        <f>'Total MT CO2eq'!N15/Enrollment!N15</f>
        <v>0.90877842940596631</v>
      </c>
      <c r="O15" s="446">
        <f>'Total MT CO2eq'!O15/Enrollment!O15</f>
        <v>0.8942466617148338</v>
      </c>
      <c r="P15" s="498">
        <f>'Total MT CO2eq'!P15/Enrollment!P15</f>
        <v>1.4288344686368935</v>
      </c>
      <c r="Q15" s="446">
        <f>'Total MT CO2eq'!Q15/Enrollment!Q15</f>
        <v>1.2402021739786515</v>
      </c>
      <c r="R15" s="498">
        <f>'Total MT CO2eq'!R15/Enrollment!R15</f>
        <v>1.0421600496164733</v>
      </c>
      <c r="S15" s="446">
        <f>'Total MT CO2eq'!S15/Enrollment!S15</f>
        <v>0.78433030432711892</v>
      </c>
      <c r="T15" s="498">
        <f>'Total MT CO2eq'!T15/Enrollment!T15</f>
        <v>1.0046658185035937</v>
      </c>
      <c r="U15" s="609">
        <f>'Total MT CO2eq'!U15/Enrollment!U15</f>
        <v>0.69608567399269961</v>
      </c>
    </row>
    <row r="16" spans="2:21" ht="16">
      <c r="B16" s="373" t="s">
        <v>27</v>
      </c>
      <c r="C16" s="74">
        <v>355208.9</v>
      </c>
      <c r="D16" s="74">
        <v>348156</v>
      </c>
      <c r="E16" s="74">
        <v>356316.6</v>
      </c>
      <c r="F16" s="74">
        <v>361335.1</v>
      </c>
      <c r="G16" s="74">
        <v>411083.1</v>
      </c>
      <c r="H16" s="611">
        <f>'Total MT CO2eq'!H16/Enrollment!H16</f>
        <v>1.222128588184028</v>
      </c>
      <c r="I16" s="612">
        <f>'Total MT CO2eq'!I16/Enrollment!I16</f>
        <v>1.2237649652617235</v>
      </c>
      <c r="J16" s="611">
        <f>'Total MT CO2eq'!J16/Enrollment!J16</f>
        <v>1.0715158604129844</v>
      </c>
      <c r="K16" s="612">
        <f>'Total MT CO2eq'!K16/Enrollment!K16</f>
        <v>0.91530028457619972</v>
      </c>
      <c r="L16" s="611">
        <f>'Total MT CO2eq'!L16/Enrollment!L16</f>
        <v>1.0124221484361127</v>
      </c>
      <c r="M16" s="612">
        <f>'Total MT CO2eq'!M16/Enrollment!M16</f>
        <v>0.9662297041896255</v>
      </c>
      <c r="N16" s="611">
        <f>'Total MT CO2eq'!N16/Enrollment!N16</f>
        <v>0.84095020550684174</v>
      </c>
      <c r="O16" s="612">
        <f>'Total MT CO2eq'!O16/Enrollment!O16</f>
        <v>1.0356476035667279</v>
      </c>
      <c r="P16" s="611">
        <f>'Total MT CO2eq'!P16/Enrollment!P16</f>
        <v>1.1445163950549886</v>
      </c>
      <c r="Q16" s="612">
        <f>'Total MT CO2eq'!Q16/Enrollment!Q16</f>
        <v>1.2554156139335697</v>
      </c>
      <c r="R16" s="611">
        <f>'Total MT CO2eq'!R16/Enrollment!R16</f>
        <v>1.0962821028702441</v>
      </c>
      <c r="S16" s="612">
        <f>'Total MT CO2eq'!S16/Enrollment!S16</f>
        <v>0.91935690463731801</v>
      </c>
      <c r="T16" s="611">
        <f>'Total MT CO2eq'!T16/Enrollment!T16</f>
        <v>1.1407457152395652</v>
      </c>
      <c r="U16" s="595">
        <f>'Total MT CO2eq'!U16/Enrollment!U16</f>
        <v>0.94810963522490987</v>
      </c>
    </row>
    <row r="17" spans="2:21" ht="16">
      <c r="B17" s="373" t="s">
        <v>29</v>
      </c>
      <c r="C17" s="72">
        <v>303131</v>
      </c>
      <c r="D17" s="72">
        <v>285146.5</v>
      </c>
      <c r="E17" s="72">
        <v>257928.5</v>
      </c>
      <c r="F17" s="72">
        <v>265587.3</v>
      </c>
      <c r="G17" s="72">
        <v>271977.3</v>
      </c>
      <c r="H17" s="498">
        <f>'Total MT CO2eq'!H17/Enrollment!H17</f>
        <v>1.0171546377910354</v>
      </c>
      <c r="I17" s="446">
        <f>'Total MT CO2eq'!I17/Enrollment!I17</f>
        <v>0.98890356720207517</v>
      </c>
      <c r="J17" s="498">
        <f>'Total MT CO2eq'!J17/Enrollment!J17</f>
        <v>0.84120067178713775</v>
      </c>
      <c r="K17" s="446">
        <f>'Total MT CO2eq'!K17/Enrollment!K17</f>
        <v>0.80649102781189574</v>
      </c>
      <c r="L17" s="498">
        <f>'Total MT CO2eq'!L17/Enrollment!L17</f>
        <v>0.7623857116882724</v>
      </c>
      <c r="M17" s="446">
        <f>'Total MT CO2eq'!M17/Enrollment!M17</f>
        <v>0.81137086294198701</v>
      </c>
      <c r="N17" s="498">
        <f>'Total MT CO2eq'!N17/Enrollment!N17</f>
        <v>0.78870605177315534</v>
      </c>
      <c r="O17" s="446">
        <f>'Total MT CO2eq'!O17/Enrollment!O17</f>
        <v>0.83830980552145762</v>
      </c>
      <c r="P17" s="498">
        <f>'Total MT CO2eq'!P17/Enrollment!P17</f>
        <v>0.88978631506462513</v>
      </c>
      <c r="Q17" s="446">
        <f>'Total MT CO2eq'!Q17/Enrollment!Q17</f>
        <v>0.79742531063376487</v>
      </c>
      <c r="R17" s="498">
        <f>'Total MT CO2eq'!R17/Enrollment!R17</f>
        <v>0.77659293832943843</v>
      </c>
      <c r="S17" s="446">
        <f>'Total MT CO2eq'!S17/Enrollment!S17</f>
        <v>0.67147708720487043</v>
      </c>
      <c r="T17" s="498">
        <f>'Total MT CO2eq'!T17/Enrollment!T17</f>
        <v>0.829171769946492</v>
      </c>
      <c r="U17" s="609">
        <f>'Total MT CO2eq'!U17/Enrollment!U17</f>
        <v>0.76229436415112695</v>
      </c>
    </row>
    <row r="18" spans="2:21" ht="16">
      <c r="B18" s="373" t="s">
        <v>31</v>
      </c>
      <c r="C18" s="74">
        <v>339665.9</v>
      </c>
      <c r="D18" s="74">
        <v>358261.3</v>
      </c>
      <c r="E18" s="74">
        <v>368541.6</v>
      </c>
      <c r="F18" s="74">
        <v>381014.8</v>
      </c>
      <c r="G18" s="74">
        <v>416469.7</v>
      </c>
      <c r="H18" s="611">
        <f>'Total MT CO2eq'!H18/Enrollment!H18</f>
        <v>0.99176617820321011</v>
      </c>
      <c r="I18" s="612">
        <f>'Total MT CO2eq'!I18/Enrollment!I18</f>
        <v>1.0860801174003774</v>
      </c>
      <c r="J18" s="611">
        <f>'Total MT CO2eq'!J18/Enrollment!J18</f>
        <v>0.92157839724994584</v>
      </c>
      <c r="K18" s="612">
        <f>'Total MT CO2eq'!K18/Enrollment!K18</f>
        <v>0.83894461380680752</v>
      </c>
      <c r="L18" s="611">
        <f>'Total MT CO2eq'!L18/Enrollment!L18</f>
        <v>0.86496531364751494</v>
      </c>
      <c r="M18" s="612">
        <f>'Total MT CO2eq'!M18/Enrollment!M18</f>
        <v>1.0123807156413875</v>
      </c>
      <c r="N18" s="611">
        <f>'Total MT CO2eq'!N18/Enrollment!N18</f>
        <v>0.77499477222140101</v>
      </c>
      <c r="O18" s="612">
        <f>'Total MT CO2eq'!O18/Enrollment!O18</f>
        <v>0.68260542404522118</v>
      </c>
      <c r="P18" s="611">
        <f>'Total MT CO2eq'!P18/Enrollment!P18</f>
        <v>0.6944056289690812</v>
      </c>
      <c r="Q18" s="612">
        <f>'Total MT CO2eq'!Q18/Enrollment!Q18</f>
        <v>0.78326040675559327</v>
      </c>
      <c r="R18" s="611">
        <f>'Total MT CO2eq'!R18/Enrollment!R18</f>
        <v>0.82496192591825823</v>
      </c>
      <c r="S18" s="612">
        <f>'Total MT CO2eq'!S18/Enrollment!S18</f>
        <v>0.66778345026828834</v>
      </c>
      <c r="T18" s="611">
        <f>'Total MT CO2eq'!T18/Enrollment!T18</f>
        <v>0.8780561259167422</v>
      </c>
      <c r="U18" s="595">
        <f>'Total MT CO2eq'!U18/Enrollment!U18</f>
        <v>0.72009336305372551</v>
      </c>
    </row>
    <row r="19" spans="2:21" ht="16">
      <c r="B19" s="373" t="s">
        <v>33</v>
      </c>
      <c r="C19" s="74">
        <v>615786.5</v>
      </c>
      <c r="D19" s="74">
        <v>680475.6</v>
      </c>
      <c r="E19" s="74">
        <v>626506.19999999995</v>
      </c>
      <c r="F19" s="74">
        <v>657926.40000000002</v>
      </c>
      <c r="G19" s="74">
        <v>650219.9</v>
      </c>
      <c r="H19" s="498">
        <f>'Total MT CO2eq'!H19/Enrollment!H19</f>
        <v>1.7591969279512267</v>
      </c>
      <c r="I19" s="446">
        <f>'Total MT CO2eq'!I19/Enrollment!I19</f>
        <v>1.5679262298205905</v>
      </c>
      <c r="J19" s="498">
        <f>'Total MT CO2eq'!J19/Enrollment!J19</f>
        <v>1.54285919340498</v>
      </c>
      <c r="K19" s="446">
        <f>'Total MT CO2eq'!K19/Enrollment!K19</f>
        <v>1.5023657697883426</v>
      </c>
      <c r="L19" s="498">
        <f>'Total MT CO2eq'!L19/Enrollment!L19</f>
        <v>1.6345511056258204</v>
      </c>
      <c r="M19" s="446">
        <f>'Total MT CO2eq'!M19/Enrollment!M19</f>
        <v>1.5924183324783308</v>
      </c>
      <c r="N19" s="498">
        <f>'Total MT CO2eq'!N19/Enrollment!N19</f>
        <v>1.3507335862122121</v>
      </c>
      <c r="O19" s="446">
        <f>'Total MT CO2eq'!O19/Enrollment!O19</f>
        <v>1.5517864738416187</v>
      </c>
      <c r="P19" s="498">
        <f>'Total MT CO2eq'!P19/Enrollment!P19</f>
        <v>1.4227532715849756</v>
      </c>
      <c r="Q19" s="446">
        <f>'Total MT CO2eq'!Q19/Enrollment!Q19</f>
        <v>1.4352081391511711</v>
      </c>
      <c r="R19" s="498">
        <f>'Total MT CO2eq'!R19/Enrollment!R19</f>
        <v>0.98190220902304826</v>
      </c>
      <c r="S19" s="446">
        <f>'Total MT CO2eq'!S19/Enrollment!S19</f>
        <v>0.74352737740355079</v>
      </c>
      <c r="T19" s="498">
        <f>'Total MT CO2eq'!T19/Enrollment!T19</f>
        <v>1.1054066149422335</v>
      </c>
      <c r="U19" s="609">
        <f>'Total MT CO2eq'!U19/Enrollment!U19</f>
        <v>0.87168745022047256</v>
      </c>
    </row>
    <row r="20" spans="2:21" ht="16">
      <c r="B20" s="373" t="s">
        <v>74</v>
      </c>
      <c r="C20" s="74">
        <v>689092.9</v>
      </c>
      <c r="D20" s="74">
        <v>702004.9</v>
      </c>
      <c r="E20" s="74">
        <v>644399.9</v>
      </c>
      <c r="F20" s="74">
        <v>638133.69999999995</v>
      </c>
      <c r="G20" s="74">
        <v>607016.1</v>
      </c>
      <c r="H20" s="611">
        <f>'Total MT CO2eq'!H20/Enrollment!H20</f>
        <v>1.554919391909676</v>
      </c>
      <c r="I20" s="612">
        <f>'Total MT CO2eq'!I20/Enrollment!I20</f>
        <v>1.5009627262290659</v>
      </c>
      <c r="J20" s="611">
        <f>'Total MT CO2eq'!J20/Enrollment!J20</f>
        <v>1.3836201280356948</v>
      </c>
      <c r="K20" s="612">
        <f>'Total MT CO2eq'!K20/Enrollment!K20</f>
        <v>1.381216202477487</v>
      </c>
      <c r="L20" s="611">
        <f>'Total MT CO2eq'!L20/Enrollment!L20</f>
        <v>1.3852999095421716</v>
      </c>
      <c r="M20" s="612">
        <f>'Total MT CO2eq'!M20/Enrollment!M20</f>
        <v>1.5056215021373549</v>
      </c>
      <c r="N20" s="611">
        <f>'Total MT CO2eq'!N20/Enrollment!N20</f>
        <v>1.2570831895263419</v>
      </c>
      <c r="O20" s="612">
        <f>'Total MT CO2eq'!O20/Enrollment!O20</f>
        <v>1.3384739193025146</v>
      </c>
      <c r="P20" s="611">
        <f>'Total MT CO2eq'!P20/Enrollment!P20</f>
        <v>1.2553372085738956</v>
      </c>
      <c r="Q20" s="612">
        <f>'Total MT CO2eq'!Q20/Enrollment!Q20</f>
        <v>1.1414119683185737</v>
      </c>
      <c r="R20" s="611">
        <f>'Total MT CO2eq'!R20/Enrollment!R20</f>
        <v>0.85821223718310002</v>
      </c>
      <c r="S20" s="612">
        <f>'Total MT CO2eq'!S20/Enrollment!S20</f>
        <v>0.6079669074937506</v>
      </c>
      <c r="T20" s="611">
        <f>'Total MT CO2eq'!T20/Enrollment!T20</f>
        <v>0.92113850350000104</v>
      </c>
      <c r="U20" s="595">
        <f>'Total MT CO2eq'!U20/Enrollment!U20</f>
        <v>0.89127590332610018</v>
      </c>
    </row>
    <row r="21" spans="2:21" ht="16">
      <c r="B21" s="373" t="s">
        <v>36</v>
      </c>
      <c r="C21" s="75">
        <v>252946</v>
      </c>
      <c r="D21" s="75">
        <v>260025.60000000001</v>
      </c>
      <c r="E21" s="75">
        <v>243136</v>
      </c>
      <c r="F21" s="75">
        <v>267954.09999999998</v>
      </c>
      <c r="G21" s="75">
        <v>306217</v>
      </c>
      <c r="H21" s="498">
        <f>'Total MT CO2eq'!H21/Enrollment!H21</f>
        <v>1.3519580467904839</v>
      </c>
      <c r="I21" s="446">
        <f>'Total MT CO2eq'!I21/Enrollment!I21</f>
        <v>1.4276355068588085</v>
      </c>
      <c r="J21" s="498">
        <f>'Total MT CO2eq'!J21/Enrollment!J21</f>
        <v>1.0251651020452075</v>
      </c>
      <c r="K21" s="446">
        <f>'Total MT CO2eq'!K21/Enrollment!K21</f>
        <v>1.013192362959481</v>
      </c>
      <c r="L21" s="498">
        <f>'Total MT CO2eq'!L21/Enrollment!L21</f>
        <v>1.1766174667649389</v>
      </c>
      <c r="M21" s="446">
        <f>'Total MT CO2eq'!M21/Enrollment!M21</f>
        <v>1.0909833185008204</v>
      </c>
      <c r="N21" s="498">
        <f>'Total MT CO2eq'!N21/Enrollment!N21</f>
        <v>1.2237953310071399</v>
      </c>
      <c r="O21" s="446">
        <f>'Total MT CO2eq'!O21/Enrollment!O21</f>
        <v>0.94514671050835852</v>
      </c>
      <c r="P21" s="498">
        <f>'Total MT CO2eq'!P21/Enrollment!P21</f>
        <v>0.91739243958676964</v>
      </c>
      <c r="Q21" s="446">
        <f>'Total MT CO2eq'!Q21/Enrollment!Q21</f>
        <v>0.92788691662125888</v>
      </c>
      <c r="R21" s="498">
        <f>'Total MT CO2eq'!R21/Enrollment!R21</f>
        <v>0.87911912526100899</v>
      </c>
      <c r="S21" s="446">
        <f>'Total MT CO2eq'!S21/Enrollment!S21</f>
        <v>0.6837597397060976</v>
      </c>
      <c r="T21" s="498">
        <f>'Total MT CO2eq'!T21/Enrollment!T21</f>
        <v>0.82656085523679601</v>
      </c>
      <c r="U21" s="609">
        <f>'Total MT CO2eq'!U21/Enrollment!U21</f>
        <v>0.75664301447058879</v>
      </c>
    </row>
    <row r="22" spans="2:21" ht="16">
      <c r="B22" s="373" t="s">
        <v>67</v>
      </c>
      <c r="C22" s="74">
        <v>274090.40000000002</v>
      </c>
      <c r="D22" s="74">
        <v>270944</v>
      </c>
      <c r="E22" s="74">
        <v>252833.6</v>
      </c>
      <c r="F22" s="74">
        <v>262104.8</v>
      </c>
      <c r="G22" s="74">
        <v>282815.7</v>
      </c>
      <c r="H22" s="611">
        <f>'Total MT CO2eq'!H22/Enrollment!H22</f>
        <v>1.7516305616805812</v>
      </c>
      <c r="I22" s="612">
        <f>'Total MT CO2eq'!I22/Enrollment!I22</f>
        <v>1.8764594912617771</v>
      </c>
      <c r="J22" s="611">
        <f>'Total MT CO2eq'!J22/Enrollment!J22</f>
        <v>1.706903375160328</v>
      </c>
      <c r="K22" s="612">
        <f>'Total MT CO2eq'!K22/Enrollment!K22</f>
        <v>1.7658031760208068</v>
      </c>
      <c r="L22" s="611">
        <f>'Total MT CO2eq'!L22/Enrollment!L22</f>
        <v>2.5008993622271558</v>
      </c>
      <c r="M22" s="612">
        <f>'Total MT CO2eq'!M22/Enrollment!M22</f>
        <v>0.91223453375944263</v>
      </c>
      <c r="N22" s="611">
        <f>'Total MT CO2eq'!N22/Enrollment!N22</f>
        <v>0.71301689314418704</v>
      </c>
      <c r="O22" s="612">
        <f>'Total MT CO2eq'!O22/Enrollment!O22</f>
        <v>0.95931776057653917</v>
      </c>
      <c r="P22" s="611">
        <f>'Total MT CO2eq'!P22/Enrollment!P22</f>
        <v>0.96525855841496488</v>
      </c>
      <c r="Q22" s="612">
        <f>'Total MT CO2eq'!Q22/Enrollment!Q22</f>
        <v>0.86208600628932763</v>
      </c>
      <c r="R22" s="611">
        <f>'Total MT CO2eq'!R22/Enrollment!R22</f>
        <v>0.70625419542943668</v>
      </c>
      <c r="S22" s="612">
        <f>'Total MT CO2eq'!S22/Enrollment!S22</f>
        <v>0.74285932359093176</v>
      </c>
      <c r="T22" s="611">
        <f>'Total MT CO2eq'!T22/Enrollment!T22</f>
        <v>0.95830588579191966</v>
      </c>
      <c r="U22" s="595">
        <f>'Total MT CO2eq'!U22/Enrollment!U22</f>
        <v>0.9383252818035428</v>
      </c>
    </row>
    <row r="23" spans="2:21" ht="16">
      <c r="B23" s="373" t="s">
        <v>39</v>
      </c>
      <c r="C23" s="75">
        <v>320743.90000000002</v>
      </c>
      <c r="D23" s="75">
        <v>347396</v>
      </c>
      <c r="E23" s="75">
        <v>289725.59999999998</v>
      </c>
      <c r="F23" s="75">
        <v>305080</v>
      </c>
      <c r="G23" s="75">
        <v>342312.7</v>
      </c>
      <c r="H23" s="498">
        <f>'Total MT CO2eq'!H23/Enrollment!H23</f>
        <v>1.2403117922625082</v>
      </c>
      <c r="I23" s="446">
        <f>'Total MT CO2eq'!I23/Enrollment!I23</f>
        <v>1.3122402561140665</v>
      </c>
      <c r="J23" s="498">
        <f>'Total MT CO2eq'!J23/Enrollment!J23</f>
        <v>1.1661796093726522</v>
      </c>
      <c r="K23" s="446">
        <f>'Total MT CO2eq'!K23/Enrollment!K23</f>
        <v>1.1268724822052361</v>
      </c>
      <c r="L23" s="498">
        <f>'Total MT CO2eq'!L23/Enrollment!L23</f>
        <v>1.0850317436295112</v>
      </c>
      <c r="M23" s="446">
        <f>'Total MT CO2eq'!M23/Enrollment!M23</f>
        <v>1.0101528599166105</v>
      </c>
      <c r="N23" s="498">
        <f>'Total MT CO2eq'!N23/Enrollment!N23</f>
        <v>1.0698846558086588</v>
      </c>
      <c r="O23" s="446">
        <f>'Total MT CO2eq'!O23/Enrollment!O23</f>
        <v>1.0686702559710415</v>
      </c>
      <c r="P23" s="498">
        <f>'Total MT CO2eq'!P23/Enrollment!P23</f>
        <v>1.0637031534216141</v>
      </c>
      <c r="Q23" s="446">
        <f>'Total MT CO2eq'!Q23/Enrollment!Q23</f>
        <v>1.2868047184737668</v>
      </c>
      <c r="R23" s="498">
        <f>'Total MT CO2eq'!R23/Enrollment!R23</f>
        <v>1.170256807955518</v>
      </c>
      <c r="S23" s="446">
        <f>'Total MT CO2eq'!S23/Enrollment!S23</f>
        <v>1.2036896900384901</v>
      </c>
      <c r="T23" s="498">
        <f>'Total MT CO2eq'!T23/Enrollment!T23</f>
        <v>1.6506823977570595</v>
      </c>
      <c r="U23" s="609">
        <f>'Total MT CO2eq'!U23/Enrollment!U23</f>
        <v>1.3536753816400657</v>
      </c>
    </row>
    <row r="24" spans="2:21" ht="16">
      <c r="B24" s="373" t="s">
        <v>41</v>
      </c>
      <c r="C24" s="74">
        <v>226938.6</v>
      </c>
      <c r="D24" s="74">
        <v>222228</v>
      </c>
      <c r="E24" s="74">
        <v>232763.6</v>
      </c>
      <c r="F24" s="74">
        <v>234749.1</v>
      </c>
      <c r="G24" s="74">
        <v>286007.2</v>
      </c>
      <c r="H24" s="611">
        <f>'Total MT CO2eq'!H24/Enrollment!H24</f>
        <v>1.8908850552710494</v>
      </c>
      <c r="I24" s="612">
        <f>'Total MT CO2eq'!I24/Enrollment!I24</f>
        <v>1.3735321040796176</v>
      </c>
      <c r="J24" s="611">
        <f>'Total MT CO2eq'!J24/Enrollment!J24</f>
        <v>1.0210546245779599</v>
      </c>
      <c r="K24" s="612">
        <f>'Total MT CO2eq'!K24/Enrollment!K24</f>
        <v>1.0627609798500046</v>
      </c>
      <c r="L24" s="611">
        <f>'Total MT CO2eq'!L24/Enrollment!L24</f>
        <v>1.2108477117886554</v>
      </c>
      <c r="M24" s="612">
        <f>'Total MT CO2eq'!M24/Enrollment!M24</f>
        <v>1.3985932984927765</v>
      </c>
      <c r="N24" s="611">
        <f>'Total MT CO2eq'!N24/Enrollment!N24</f>
        <v>1.055294735266173</v>
      </c>
      <c r="O24" s="612">
        <f>'Total MT CO2eq'!O24/Enrollment!O24</f>
        <v>1.1644012387239318</v>
      </c>
      <c r="P24" s="611">
        <f>'Total MT CO2eq'!P24/Enrollment!P24</f>
        <v>1.2935148334855191</v>
      </c>
      <c r="Q24" s="612">
        <f>'Total MT CO2eq'!Q24/Enrollment!Q24</f>
        <v>1.1250128692417689</v>
      </c>
      <c r="R24" s="611">
        <f>'Total MT CO2eq'!R24/Enrollment!R24</f>
        <v>1.0246740070498921</v>
      </c>
      <c r="S24" s="612">
        <f>'Total MT CO2eq'!S24/Enrollment!S24</f>
        <v>0.9921927851994089</v>
      </c>
      <c r="T24" s="611">
        <f>'Total MT CO2eq'!T24/Enrollment!T24</f>
        <v>1.530577157316277</v>
      </c>
      <c r="U24" s="595">
        <f>'Total MT CO2eq'!U24/Enrollment!U24</f>
        <v>1.2287574664342555</v>
      </c>
    </row>
    <row r="25" spans="2:21" ht="16">
      <c r="B25" s="373" t="s">
        <v>44</v>
      </c>
      <c r="C25" s="74">
        <v>291060</v>
      </c>
      <c r="D25" s="74">
        <v>298504.09999999998</v>
      </c>
      <c r="E25" s="74">
        <v>340959.4</v>
      </c>
      <c r="F25" s="74">
        <v>329036.40000000002</v>
      </c>
      <c r="G25" s="74">
        <v>369359.4</v>
      </c>
      <c r="H25" s="504">
        <f>'Total MT CO2eq'!H25/Enrollment!H25</f>
        <v>8.3429389585182354E-2</v>
      </c>
      <c r="I25" s="505">
        <f>'Total MT CO2eq'!I25/Enrollment!I25</f>
        <v>0.10233037723727892</v>
      </c>
      <c r="J25" s="504">
        <f>'Total MT CO2eq'!J25/Enrollment!J25</f>
        <v>-0.14989327771304539</v>
      </c>
      <c r="K25" s="505">
        <f>'Total MT CO2eq'!K25/Enrollment!K25</f>
        <v>-0.19119630183257516</v>
      </c>
      <c r="L25" s="504">
        <f>'Total MT CO2eq'!L25/Enrollment!L25</f>
        <v>-0.1654254908243592</v>
      </c>
      <c r="M25" s="505">
        <f>'Total MT CO2eq'!M25/Enrollment!M25</f>
        <v>-0.2518712509299964</v>
      </c>
      <c r="N25" s="504">
        <f>'Total MT CO2eq'!N25/Enrollment!N25</f>
        <v>-0.31879462011974841</v>
      </c>
      <c r="O25" s="505">
        <f>'Total MT CO2eq'!O25/Enrollment!O25</f>
        <v>-0.22434102497113945</v>
      </c>
      <c r="P25" s="504">
        <f>'Total MT CO2eq'!P25/Enrollment!P25</f>
        <v>4.1312177080076264E-2</v>
      </c>
      <c r="Q25" s="505">
        <f>'Total MT CO2eq'!Q25/Enrollment!Q25</f>
        <v>1.0626521267401812E-2</v>
      </c>
      <c r="R25" s="504">
        <f>'Total MT CO2eq'!R25/Enrollment!R25</f>
        <v>-0.11424627578262363</v>
      </c>
      <c r="S25" s="505">
        <f>'Total MT CO2eq'!S25/Enrollment!S25</f>
        <v>-0.27055735603865894</v>
      </c>
      <c r="T25" s="504">
        <f>'Total MT CO2eq'!T25/Enrollment!T25</f>
        <v>2.9717203823019823E-2</v>
      </c>
      <c r="U25" s="610">
        <f>'Total MT CO2eq'!U25/Enrollment!U25</f>
        <v>-0.13330970752277613</v>
      </c>
    </row>
    <row r="26" spans="2:21" ht="16">
      <c r="B26" s="373" t="s">
        <v>46</v>
      </c>
      <c r="C26" s="70" t="s">
        <v>97</v>
      </c>
      <c r="D26" s="70"/>
      <c r="E26" s="70"/>
      <c r="F26" s="70"/>
      <c r="G26" s="70"/>
      <c r="H26" s="713" t="s">
        <v>97</v>
      </c>
      <c r="I26" s="714"/>
      <c r="J26" s="715"/>
      <c r="K26" s="499"/>
      <c r="L26" s="499"/>
      <c r="M26" s="499"/>
      <c r="N26" s="499"/>
      <c r="O26" s="499"/>
      <c r="P26" s="499"/>
      <c r="Q26" s="499"/>
      <c r="R26" s="499"/>
      <c r="S26" s="499"/>
      <c r="T26" s="499"/>
      <c r="U26" s="616"/>
    </row>
    <row r="27" spans="2:21" ht="16">
      <c r="B27" s="373" t="s">
        <v>49</v>
      </c>
      <c r="C27" s="74">
        <v>1273330.2</v>
      </c>
      <c r="D27" s="74">
        <v>1164509.6000000001</v>
      </c>
      <c r="E27" s="74">
        <v>1140327.8999999999</v>
      </c>
      <c r="F27" s="74">
        <v>1133206.5</v>
      </c>
      <c r="G27" s="74">
        <v>1057944.8999999999</v>
      </c>
      <c r="H27" s="498">
        <f>'Total MT CO2eq'!H27/Enrollment!H27</f>
        <v>2.2252095623928212</v>
      </c>
      <c r="I27" s="446">
        <f>'Total MT CO2eq'!I27/Enrollment!I27</f>
        <v>1.9204577723803362</v>
      </c>
      <c r="J27" s="498">
        <f>'Total MT CO2eq'!J27/Enrollment!J27</f>
        <v>1.6213789170321233</v>
      </c>
      <c r="K27" s="446">
        <f>'Total MT CO2eq'!K27/Enrollment!K27</f>
        <v>1.7759471904216058</v>
      </c>
      <c r="L27" s="498">
        <f>'Total MT CO2eq'!L27/Enrollment!L27</f>
        <v>1.6251852413241588</v>
      </c>
      <c r="M27" s="446">
        <f>'Total MT CO2eq'!M27/Enrollment!M27</f>
        <v>1.4787090781789392</v>
      </c>
      <c r="N27" s="498">
        <f>'Total MT CO2eq'!N27/Enrollment!N27</f>
        <v>1.7056648701811608</v>
      </c>
      <c r="O27" s="446">
        <f>'Total MT CO2eq'!O27/Enrollment!O27</f>
        <v>1.5546816309140636</v>
      </c>
      <c r="P27" s="498">
        <f>'Total MT CO2eq'!P27/Enrollment!P27</f>
        <v>1.6398352507353511</v>
      </c>
      <c r="Q27" s="446">
        <f>'Total MT CO2eq'!Q27/Enrollment!Q27</f>
        <v>1.8031906047010871</v>
      </c>
      <c r="R27" s="498">
        <f>'Total MT CO2eq'!R27/Enrollment!R27</f>
        <v>2.0753962827468317</v>
      </c>
      <c r="S27" s="446">
        <f>'Total MT CO2eq'!S27/Enrollment!S27</f>
        <v>1.4674675063536853</v>
      </c>
      <c r="T27" s="498">
        <f>'Total MT CO2eq'!T27/Enrollment!T27</f>
        <v>2.0416089874690799</v>
      </c>
      <c r="U27" s="609">
        <f>'Total MT CO2eq'!U27/Enrollment!U27</f>
        <v>1.8211268683703681</v>
      </c>
    </row>
    <row r="28" spans="2:21" ht="16">
      <c r="B28" s="373" t="s">
        <v>51</v>
      </c>
      <c r="C28" s="74">
        <v>1421161.4</v>
      </c>
      <c r="D28" s="74">
        <v>1372019.4</v>
      </c>
      <c r="E28" s="74">
        <v>1373093.5</v>
      </c>
      <c r="F28" s="74">
        <v>1297464.6000000001</v>
      </c>
      <c r="G28" s="74">
        <v>1469912.6</v>
      </c>
      <c r="H28" s="498">
        <f>'Total MT CO2eq'!H28/Enrollment!H28</f>
        <v>1.8926066182555803</v>
      </c>
      <c r="I28" s="446">
        <f>'Total MT CO2eq'!I28/Enrollment!I28</f>
        <v>1.8979475875205389</v>
      </c>
      <c r="J28" s="498">
        <f>'Total MT CO2eq'!J28/Enrollment!J28</f>
        <v>1.4568988246813215</v>
      </c>
      <c r="K28" s="446">
        <f>'Total MT CO2eq'!K28/Enrollment!K28</f>
        <v>1.4708207969919924</v>
      </c>
      <c r="L28" s="498">
        <f>'Total MT CO2eq'!L28/Enrollment!L28</f>
        <v>1.4062010734027433</v>
      </c>
      <c r="M28" s="446">
        <f>'Total MT CO2eq'!M28/Enrollment!M28</f>
        <v>1.3307423271609216</v>
      </c>
      <c r="N28" s="498">
        <f>'Total MT CO2eq'!N28/Enrollment!N28</f>
        <v>1.2975543094263589</v>
      </c>
      <c r="O28" s="446">
        <f>'Total MT CO2eq'!O28/Enrollment!O28</f>
        <v>1.4329792011027571</v>
      </c>
      <c r="P28" s="498">
        <f>'Total MT CO2eq'!P28/Enrollment!P28</f>
        <v>1.5335679247760083</v>
      </c>
      <c r="Q28" s="446">
        <f>'Total MT CO2eq'!Q28/Enrollment!Q28</f>
        <v>1.7134975840127267</v>
      </c>
      <c r="R28" s="498">
        <f>'Total MT CO2eq'!R28/Enrollment!R28</f>
        <v>1.3357328688669987</v>
      </c>
      <c r="S28" s="446">
        <f>'Total MT CO2eq'!S28/Enrollment!S28</f>
        <v>1.1290730743352213</v>
      </c>
      <c r="T28" s="498">
        <f>'Total MT CO2eq'!T28/Enrollment!T28</f>
        <v>1.6876508131156653</v>
      </c>
      <c r="U28" s="595">
        <f>'Total MT CO2eq'!U28/Enrollment!U28</f>
        <v>1.2877306145419225</v>
      </c>
    </row>
    <row r="29" spans="2:21" ht="16">
      <c r="B29" s="373" t="s">
        <v>53</v>
      </c>
      <c r="C29" s="74">
        <v>887964.6</v>
      </c>
      <c r="D29" s="74">
        <v>956144.2</v>
      </c>
      <c r="E29" s="74">
        <v>1312058.3999999999</v>
      </c>
      <c r="F29" s="74">
        <v>1399713.8</v>
      </c>
      <c r="G29" s="74">
        <v>1274704.1000000001</v>
      </c>
      <c r="H29" s="498">
        <f>'Total MT CO2eq'!H29/Enrollment!H29</f>
        <v>2.5485790904552577</v>
      </c>
      <c r="I29" s="446">
        <f>'Total MT CO2eq'!I29/Enrollment!I29</f>
        <v>2.4220202851243573</v>
      </c>
      <c r="J29" s="498">
        <f>'Total MT CO2eq'!J29/Enrollment!J29</f>
        <v>2.3034815677340954</v>
      </c>
      <c r="K29" s="446">
        <f>'Total MT CO2eq'!K29/Enrollment!K29</f>
        <v>2.330805851096057</v>
      </c>
      <c r="L29" s="498">
        <f>'Total MT CO2eq'!L29/Enrollment!L29</f>
        <v>2.2510114929929714</v>
      </c>
      <c r="M29" s="446">
        <f>'Total MT CO2eq'!M29/Enrollment!M29</f>
        <v>1.8497946520460675</v>
      </c>
      <c r="N29" s="498">
        <f>'Total MT CO2eq'!N29/Enrollment!N29</f>
        <v>1.9324977668277066</v>
      </c>
      <c r="O29" s="446">
        <f>'Total MT CO2eq'!O29/Enrollment!O29</f>
        <v>2.2198194970414127</v>
      </c>
      <c r="P29" s="498">
        <f>'Total MT CO2eq'!P29/Enrollment!P29</f>
        <v>1.9500892200635249</v>
      </c>
      <c r="Q29" s="446">
        <f>'Total MT CO2eq'!Q29/Enrollment!Q29</f>
        <v>2.0019229260246845</v>
      </c>
      <c r="R29" s="498">
        <f>'Total MT CO2eq'!R29/Enrollment!R29</f>
        <v>1.7009352998304299</v>
      </c>
      <c r="S29" s="446">
        <f>'Total MT CO2eq'!S29/Enrollment!S29</f>
        <v>1.3041793223731317</v>
      </c>
      <c r="T29" s="498">
        <f>'Total MT CO2eq'!T29/Enrollment!T29</f>
        <v>2.3421081849907841</v>
      </c>
      <c r="U29" s="609">
        <f>'Total MT CO2eq'!U29/Enrollment!U29</f>
        <v>1.7345219193604204</v>
      </c>
    </row>
    <row r="30" spans="2:21" ht="16">
      <c r="B30" s="373" t="s">
        <v>55</v>
      </c>
      <c r="C30" s="74">
        <v>1328591.8999999999</v>
      </c>
      <c r="D30" s="74">
        <v>1322764</v>
      </c>
      <c r="E30" s="74">
        <v>1210203.8999999999</v>
      </c>
      <c r="F30" s="74">
        <v>1191870.5</v>
      </c>
      <c r="G30" s="74">
        <v>1132853.1000000001</v>
      </c>
      <c r="H30" s="498">
        <f>'Total MT CO2eq'!H30/Enrollment!H30</f>
        <v>2.1255921659998105</v>
      </c>
      <c r="I30" s="446">
        <f>'Total MT CO2eq'!I30/Enrollment!I30</f>
        <v>1.9449241560424704</v>
      </c>
      <c r="J30" s="498">
        <f>'Total MT CO2eq'!J30/Enrollment!J30</f>
        <v>1.4725630709119184</v>
      </c>
      <c r="K30" s="446">
        <f>'Total MT CO2eq'!K30/Enrollment!K30</f>
        <v>1.6849508129559156</v>
      </c>
      <c r="L30" s="498">
        <f>'Total MT CO2eq'!L30/Enrollment!L30</f>
        <v>1.7363937714653046</v>
      </c>
      <c r="M30" s="446">
        <f>'Total MT CO2eq'!M30/Enrollment!M30</f>
        <v>2.5751945744082869</v>
      </c>
      <c r="N30" s="498">
        <f>'Total MT CO2eq'!N30/Enrollment!N30</f>
        <v>1.7694200857088878</v>
      </c>
      <c r="O30" s="446">
        <f>'Total MT CO2eq'!O30/Enrollment!O30</f>
        <v>1.7048419867681845</v>
      </c>
      <c r="P30" s="498">
        <f>'Total MT CO2eq'!P30/Enrollment!P30</f>
        <v>1.7660225631113018</v>
      </c>
      <c r="Q30" s="446">
        <f>'Total MT CO2eq'!Q30/Enrollment!Q30</f>
        <v>1.3825059437523559</v>
      </c>
      <c r="R30" s="498">
        <f>'Total MT CO2eq'!R30/Enrollment!R30</f>
        <v>1.5497616110476193</v>
      </c>
      <c r="S30" s="446">
        <f>'Total MT CO2eq'!S30/Enrollment!S30</f>
        <v>1.4489723627722595</v>
      </c>
      <c r="T30" s="498">
        <f>'Total MT CO2eq'!T30/Enrollment!T30</f>
        <v>2.1202816825960404</v>
      </c>
      <c r="U30" s="595">
        <f>'Total MT CO2eq'!U30/Enrollment!U30</f>
        <v>1.8260676973386945</v>
      </c>
    </row>
    <row r="31" spans="2:21" ht="16">
      <c r="B31" s="373" t="s">
        <v>57</v>
      </c>
      <c r="C31" s="74">
        <v>949506.9</v>
      </c>
      <c r="D31" s="74">
        <v>946348.6</v>
      </c>
      <c r="E31" s="74">
        <v>906338.6</v>
      </c>
      <c r="F31" s="74">
        <v>864056.4</v>
      </c>
      <c r="G31" s="74">
        <v>1109269.2</v>
      </c>
      <c r="H31" s="498">
        <f>'Total MT CO2eq'!H31/Enrollment!H31</f>
        <v>1.869496222019386</v>
      </c>
      <c r="I31" s="446">
        <f>'Total MT CO2eq'!I31/Enrollment!I31</f>
        <v>1.8916853854047331</v>
      </c>
      <c r="J31" s="498">
        <f>'Total MT CO2eq'!J31/Enrollment!J31</f>
        <v>1.5456398109580611</v>
      </c>
      <c r="K31" s="446">
        <f>'Total MT CO2eq'!K31/Enrollment!K31</f>
        <v>1.4683248292756086</v>
      </c>
      <c r="L31" s="498">
        <f>'Total MT CO2eq'!L31/Enrollment!L31</f>
        <v>1.583476734722286</v>
      </c>
      <c r="M31" s="446">
        <f>'Total MT CO2eq'!M31/Enrollment!M31</f>
        <v>1.5627431916992653</v>
      </c>
      <c r="N31" s="498">
        <f>'Total MT CO2eq'!N31/Enrollment!N31</f>
        <v>1.3481185147210064</v>
      </c>
      <c r="O31" s="446">
        <f>'Total MT CO2eq'!O31/Enrollment!O31</f>
        <v>1.5255208868046533</v>
      </c>
      <c r="P31" s="498">
        <f>'Total MT CO2eq'!P31/Enrollment!P31</f>
        <v>1.71738688904845</v>
      </c>
      <c r="Q31" s="446">
        <f>'Total MT CO2eq'!Q31/Enrollment!Q31</f>
        <v>1.5876845202231662</v>
      </c>
      <c r="R31" s="498">
        <f>'Total MT CO2eq'!R31/Enrollment!R31</f>
        <v>1.481983053668757</v>
      </c>
      <c r="S31" s="446">
        <f>'Total MT CO2eq'!S31/Enrollment!S31</f>
        <v>1.2548458757883192</v>
      </c>
      <c r="T31" s="498">
        <f>'Total MT CO2eq'!T31/Enrollment!T31</f>
        <v>1.8590939491820839</v>
      </c>
      <c r="U31" s="609">
        <f>'Total MT CO2eq'!U31/Enrollment!U31</f>
        <v>2.2775291994726774</v>
      </c>
    </row>
    <row r="32" spans="2:21" ht="16">
      <c r="B32" s="373" t="s">
        <v>68</v>
      </c>
      <c r="C32" s="74">
        <v>228266.7</v>
      </c>
      <c r="D32" s="74">
        <v>256106.6</v>
      </c>
      <c r="E32" s="74">
        <v>272702.90000000002</v>
      </c>
      <c r="F32" s="74">
        <v>300609.59999999998</v>
      </c>
      <c r="G32" s="74">
        <v>279919.3</v>
      </c>
      <c r="H32" s="498">
        <f>'Total MT CO2eq'!H32/Enrollment!H32</f>
        <v>3.1748346533467817</v>
      </c>
      <c r="I32" s="446">
        <f>'Total MT CO2eq'!I32/Enrollment!I32</f>
        <v>3.1162335835852701</v>
      </c>
      <c r="J32" s="498">
        <f>'Total MT CO2eq'!J32/Enrollment!J32</f>
        <v>2.6737744671807788</v>
      </c>
      <c r="K32" s="446">
        <f>'Total MT CO2eq'!K32/Enrollment!K32</f>
        <v>3.0894170742858558</v>
      </c>
      <c r="L32" s="498">
        <f>'Total MT CO2eq'!L32/Enrollment!L32</f>
        <v>3.3225162388369589</v>
      </c>
      <c r="M32" s="446">
        <f>'Total MT CO2eq'!M32/Enrollment!M32</f>
        <v>1.7752315636281326</v>
      </c>
      <c r="N32" s="498">
        <f>'Total MT CO2eq'!N32/Enrollment!N32</f>
        <v>1.8502749627457999</v>
      </c>
      <c r="O32" s="446">
        <f>'Total MT CO2eq'!O32/Enrollment!O32</f>
        <v>2.137514990243782</v>
      </c>
      <c r="P32" s="498">
        <f>'Total MT CO2eq'!P32/Enrollment!P32</f>
        <v>2.6052288898828304</v>
      </c>
      <c r="Q32" s="446">
        <f>'Total MT CO2eq'!Q32/Enrollment!Q32</f>
        <v>4.2082003754887998</v>
      </c>
      <c r="R32" s="498">
        <f>'Total MT CO2eq'!R32/Enrollment!R32</f>
        <v>1.7808835732298509</v>
      </c>
      <c r="S32" s="446">
        <f>'Total MT CO2eq'!S32/Enrollment!S32</f>
        <v>1.4914863634148088</v>
      </c>
      <c r="T32" s="498">
        <f>'Total MT CO2eq'!T32/Enrollment!T32</f>
        <v>1.6013574378814166</v>
      </c>
      <c r="U32" s="595">
        <f>'Total MT CO2eq'!U32/Enrollment!U32</f>
        <v>1.5662466992291106</v>
      </c>
    </row>
    <row r="33" spans="2:21" ht="16">
      <c r="B33" s="373" t="s">
        <v>59</v>
      </c>
      <c r="C33" s="74">
        <v>4214606.5</v>
      </c>
      <c r="D33" s="74">
        <v>4253330.4000000004</v>
      </c>
      <c r="E33" s="74">
        <v>4487304.2</v>
      </c>
      <c r="F33" s="74">
        <v>4620267.9000000004</v>
      </c>
      <c r="G33" s="74">
        <v>4826506.0999999996</v>
      </c>
      <c r="H33" s="498">
        <f>'Total MT CO2eq'!H33/Enrollment!H33</f>
        <v>2.7892966124659719</v>
      </c>
      <c r="I33" s="446">
        <f>'Total MT CO2eq'!I33/Enrollment!I33</f>
        <v>2.8852487535875513</v>
      </c>
      <c r="J33" s="498">
        <f>'Total MT CO2eq'!J33/Enrollment!J33</f>
        <v>2.6533076112302694</v>
      </c>
      <c r="K33" s="446">
        <f>'Total MT CO2eq'!K33/Enrollment!K33</f>
        <v>2.7852199382424216</v>
      </c>
      <c r="L33" s="498">
        <f>'Total MT CO2eq'!L33/Enrollment!L33</f>
        <v>2.7996093759229335</v>
      </c>
      <c r="M33" s="446">
        <f>'Total MT CO2eq'!M33/Enrollment!M33</f>
        <v>2.8586594342347147</v>
      </c>
      <c r="N33" s="498">
        <f>'Total MT CO2eq'!N33/Enrollment!N33</f>
        <v>2.4638305027149032</v>
      </c>
      <c r="O33" s="446">
        <f>'Total MT CO2eq'!O33/Enrollment!O33</f>
        <v>2.6880916177631389</v>
      </c>
      <c r="P33" s="498">
        <f>'Total MT CO2eq'!P33/Enrollment!P33</f>
        <v>2.3676331598693494</v>
      </c>
      <c r="Q33" s="446">
        <f>'Total MT CO2eq'!Q33/Enrollment!Q33</f>
        <v>2.3224135688389107</v>
      </c>
      <c r="R33" s="498">
        <f>'Total MT CO2eq'!R33/Enrollment!R33</f>
        <v>2.26824581972128</v>
      </c>
      <c r="S33" s="446">
        <f>'Total MT CO2eq'!S33/Enrollment!S33</f>
        <v>1.6499210730777143</v>
      </c>
      <c r="T33" s="498">
        <f>'Total MT CO2eq'!T33/Enrollment!T33</f>
        <v>2.1985992444499312</v>
      </c>
      <c r="U33" s="609">
        <f>'Total MT CO2eq'!U33/Enrollment!U33</f>
        <v>1.6464155157975136</v>
      </c>
    </row>
    <row r="34" spans="2:21" ht="16">
      <c r="B34" s="373" t="s">
        <v>61</v>
      </c>
      <c r="C34" s="74">
        <v>4227895.7</v>
      </c>
      <c r="D34" s="74">
        <v>4177114.3</v>
      </c>
      <c r="E34" s="74">
        <v>4420321.5</v>
      </c>
      <c r="F34" s="74">
        <v>4502082.4000000004</v>
      </c>
      <c r="G34" s="74">
        <v>4505429.5999999996</v>
      </c>
      <c r="H34" s="498">
        <f>'Total MT CO2eq'!H34/Enrollment!H34</f>
        <v>2.0381462178123182</v>
      </c>
      <c r="I34" s="446">
        <f>'Total MT CO2eq'!I34/Enrollment!I34</f>
        <v>2.394627184837876</v>
      </c>
      <c r="J34" s="498">
        <f>'Total MT CO2eq'!J34/Enrollment!J34</f>
        <v>2.3369499420831721</v>
      </c>
      <c r="K34" s="446">
        <f>'Total MT CO2eq'!K34/Enrollment!K34</f>
        <v>2.6776583233010647</v>
      </c>
      <c r="L34" s="498">
        <f>'Total MT CO2eq'!L34/Enrollment!L34</f>
        <v>2.6122089476303483</v>
      </c>
      <c r="M34" s="446">
        <f>'Total MT CO2eq'!M34/Enrollment!M34</f>
        <v>2.1596775562430754</v>
      </c>
      <c r="N34" s="498">
        <f>'Total MT CO2eq'!N34/Enrollment!N34</f>
        <v>1.9094396685937824</v>
      </c>
      <c r="O34" s="446">
        <f>'Total MT CO2eq'!O34/Enrollment!O34</f>
        <v>1.9815687056631817</v>
      </c>
      <c r="P34" s="498">
        <f>'Total MT CO2eq'!P34/Enrollment!P34</f>
        <v>2.013660242238144</v>
      </c>
      <c r="Q34" s="446">
        <f>'Total MT CO2eq'!Q34/Enrollment!Q34</f>
        <v>1.9373081965603667</v>
      </c>
      <c r="R34" s="498">
        <f>'Total MT CO2eq'!R34/Enrollment!R34</f>
        <v>1.7147098443174049</v>
      </c>
      <c r="S34" s="446">
        <f>'Total MT CO2eq'!S34/Enrollment!S34</f>
        <v>1.3942597177686045</v>
      </c>
      <c r="T34" s="498">
        <f>'Total MT CO2eq'!T34/Enrollment!T34</f>
        <v>1.8633866959228724</v>
      </c>
      <c r="U34" s="595">
        <f>'Total MT CO2eq'!U34/Enrollment!U34</f>
        <v>2.0054235615627691</v>
      </c>
    </row>
    <row r="35" spans="2:21" ht="16">
      <c r="B35" s="373" t="s">
        <v>95</v>
      </c>
      <c r="C35" s="74">
        <v>299649</v>
      </c>
      <c r="D35" s="74">
        <v>274436</v>
      </c>
      <c r="E35" s="74">
        <v>277200</v>
      </c>
      <c r="F35" s="74">
        <v>330740.59999999998</v>
      </c>
      <c r="G35" s="74">
        <v>362795.9</v>
      </c>
      <c r="H35" s="498">
        <f>'Total MT CO2eq'!H35/Enrollment!H35</f>
        <v>1.2414589231880162</v>
      </c>
      <c r="I35" s="446">
        <f>'Total MT CO2eq'!I35/Enrollment!I35</f>
        <v>1.2311951164821546</v>
      </c>
      <c r="J35" s="498">
        <f>'Total MT CO2eq'!J35/Enrollment!J35</f>
        <v>0.91416217237163078</v>
      </c>
      <c r="K35" s="446">
        <f>'Total MT CO2eq'!K35/Enrollment!K35</f>
        <v>0.9192414042110677</v>
      </c>
      <c r="L35" s="498">
        <f>'Total MT CO2eq'!L35/Enrollment!L35</f>
        <v>0.82776026588190599</v>
      </c>
      <c r="M35" s="446">
        <f>'Total MT CO2eq'!M35/Enrollment!M35</f>
        <v>0.78873952680066206</v>
      </c>
      <c r="N35" s="498">
        <f>'Total MT CO2eq'!N35/Enrollment!N35</f>
        <v>0.70832996772433476</v>
      </c>
      <c r="O35" s="446">
        <f>'Total MT CO2eq'!O35/Enrollment!O35</f>
        <v>0.78445456399355795</v>
      </c>
      <c r="P35" s="498">
        <f>'Total MT CO2eq'!P35/Enrollment!P35</f>
        <v>0.81116129117848679</v>
      </c>
      <c r="Q35" s="446">
        <f>'Total MT CO2eq'!Q35/Enrollment!Q35</f>
        <v>0.87050340753004662</v>
      </c>
      <c r="R35" s="498">
        <f>'Total MT CO2eq'!R35/Enrollment!R35</f>
        <v>0.74571869115186884</v>
      </c>
      <c r="S35" s="446">
        <f>'Total MT CO2eq'!S35/Enrollment!S35</f>
        <v>0.62904455685442462</v>
      </c>
      <c r="T35" s="498">
        <f>'Total MT CO2eq'!T35/Enrollment!T35</f>
        <v>0.92116030426510009</v>
      </c>
      <c r="U35" s="609">
        <f>'Total MT CO2eq'!U35/Enrollment!U35</f>
        <v>0.76302781235175243</v>
      </c>
    </row>
    <row r="36" spans="2:21" ht="16">
      <c r="B36" s="373" t="s">
        <v>65</v>
      </c>
      <c r="C36" s="70" t="s">
        <v>98</v>
      </c>
      <c r="D36" s="70"/>
      <c r="E36" s="70"/>
      <c r="F36" s="70"/>
      <c r="G36" s="71">
        <v>6375689.4000000004</v>
      </c>
      <c r="H36" s="498">
        <f>'Total MT CO2eq'!H36/Enrollment!H36</f>
        <v>5.1139995301388916</v>
      </c>
      <c r="I36" s="446">
        <f>'Total MT CO2eq'!I36/Enrollment!I36</f>
        <v>3.7781769572705741</v>
      </c>
      <c r="J36" s="498">
        <f>'Total MT CO2eq'!J36/Enrollment!J36</f>
        <v>2.6623202566001405</v>
      </c>
      <c r="K36" s="446">
        <f>'Total MT CO2eq'!K36/Enrollment!K36</f>
        <v>3.2027642173863295</v>
      </c>
      <c r="L36" s="498">
        <f>'Total MT CO2eq'!L36/Enrollment!L36</f>
        <v>3.31680550664298</v>
      </c>
      <c r="M36" s="446">
        <f>'Total MT CO2eq'!M36/Enrollment!M36</f>
        <v>3.1095347804166922</v>
      </c>
      <c r="N36" s="498">
        <f>'Total MT CO2eq'!N36/Enrollment!N36</f>
        <v>2.7315155366218127</v>
      </c>
      <c r="O36" s="446">
        <f>'Total MT CO2eq'!O36/Enrollment!O36</f>
        <v>2.509831925255698</v>
      </c>
      <c r="P36" s="498">
        <f>'Total MT CO2eq'!P36/Enrollment!P36</f>
        <v>2.2343524438918418</v>
      </c>
      <c r="Q36" s="446">
        <f>'Total MT CO2eq'!Q36/Enrollment!Q36</f>
        <v>2.5076117353446401</v>
      </c>
      <c r="R36" s="498">
        <f>'Total MT CO2eq'!R36/Enrollment!R36</f>
        <v>2.1883888514148362</v>
      </c>
      <c r="S36" s="446">
        <f>'Total MT CO2eq'!S36/Enrollment!S36</f>
        <v>2.2288970622532727</v>
      </c>
      <c r="T36" s="498">
        <f>'Total MT CO2eq'!T36/Enrollment!T36</f>
        <v>4.7837745471089228</v>
      </c>
      <c r="U36" s="595">
        <f>'Total MT CO2eq'!U36/Enrollment!U36</f>
        <v>3.2964483873907922</v>
      </c>
    </row>
    <row r="37" spans="2:21" ht="16">
      <c r="B37" s="373" t="s">
        <v>5</v>
      </c>
      <c r="C37" s="71">
        <v>683845</v>
      </c>
      <c r="D37" s="71">
        <v>743023.2</v>
      </c>
      <c r="E37" s="71">
        <v>807375.9</v>
      </c>
      <c r="F37" s="71">
        <v>844678.3</v>
      </c>
      <c r="G37" s="71">
        <v>952591.5</v>
      </c>
      <c r="H37" s="77" t="s">
        <v>253</v>
      </c>
      <c r="I37" s="77" t="s">
        <v>253</v>
      </c>
      <c r="J37" s="77" t="s">
        <v>253</v>
      </c>
      <c r="K37" s="77" t="s">
        <v>253</v>
      </c>
      <c r="L37" s="77" t="s">
        <v>253</v>
      </c>
      <c r="M37" s="77" t="s">
        <v>253</v>
      </c>
      <c r="N37" s="77" t="s">
        <v>253</v>
      </c>
      <c r="O37" s="77" t="s">
        <v>253</v>
      </c>
      <c r="P37" s="77" t="s">
        <v>253</v>
      </c>
      <c r="Q37" s="77" t="s">
        <v>253</v>
      </c>
      <c r="R37" s="77" t="s">
        <v>253</v>
      </c>
      <c r="S37" s="77" t="s">
        <v>253</v>
      </c>
      <c r="T37" s="77" t="s">
        <v>253</v>
      </c>
      <c r="U37" s="531" t="s">
        <v>253</v>
      </c>
    </row>
    <row r="38" spans="2:21" ht="17" thickBot="1">
      <c r="B38" s="613" t="s">
        <v>48</v>
      </c>
      <c r="C38" s="80">
        <v>193280.2</v>
      </c>
      <c r="D38" s="80">
        <v>202852.9</v>
      </c>
      <c r="E38" s="80">
        <v>246727.2</v>
      </c>
      <c r="F38" s="80">
        <v>292768.7</v>
      </c>
      <c r="G38" s="80">
        <v>271227.8</v>
      </c>
      <c r="H38" s="412" t="s">
        <v>253</v>
      </c>
      <c r="I38" s="412" t="s">
        <v>253</v>
      </c>
      <c r="J38" s="412" t="s">
        <v>253</v>
      </c>
      <c r="K38" s="412" t="s">
        <v>253</v>
      </c>
      <c r="L38" s="412" t="s">
        <v>253</v>
      </c>
      <c r="M38" s="412" t="s">
        <v>253</v>
      </c>
      <c r="N38" s="412" t="s">
        <v>253</v>
      </c>
      <c r="O38" s="412" t="s">
        <v>253</v>
      </c>
      <c r="P38" s="412" t="s">
        <v>253</v>
      </c>
      <c r="Q38" s="412" t="s">
        <v>253</v>
      </c>
      <c r="R38" s="412" t="s">
        <v>253</v>
      </c>
      <c r="S38" s="412" t="s">
        <v>253</v>
      </c>
      <c r="T38" s="412" t="s">
        <v>253</v>
      </c>
      <c r="U38" s="535" t="s">
        <v>253</v>
      </c>
    </row>
  </sheetData>
  <mergeCells count="2">
    <mergeCell ref="H26:J26"/>
    <mergeCell ref="B2:L2"/>
  </mergeCells>
  <conditionalFormatting sqref="H4:U5 H14:T25 H27:T36 H6:T12 U6:U36">
    <cfRule type="colorScale" priority="1">
      <colorScale>
        <cfvo type="min"/>
        <cfvo type="percentile" val="50"/>
        <cfvo type="max"/>
        <color rgb="FF63BE7B"/>
        <color rgb="FFFFEB84"/>
        <color rgb="FFF8696B"/>
      </colorScale>
    </cfRule>
  </conditionalFormatting>
  <pageMargins left="0.7" right="0.7" top="0.75" bottom="0.75" header="0.3" footer="0.3"/>
  <pageSetup scale="48" orientation="landscape"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5EA4D-7517-0644-BDDF-CD6A4D1789BE}">
  <sheetPr>
    <pageSetUpPr fitToPage="1"/>
  </sheetPr>
  <dimension ref="B1:U38"/>
  <sheetViews>
    <sheetView zoomScale="75" workbookViewId="0">
      <selection activeCell="U14" sqref="U14"/>
    </sheetView>
  </sheetViews>
  <sheetFormatPr baseColWidth="10" defaultRowHeight="15"/>
  <cols>
    <col min="2" max="2" width="40.5" customWidth="1"/>
    <col min="3" max="7" width="0" hidden="1" customWidth="1"/>
    <col min="8" max="13" width="13.33203125" customWidth="1"/>
    <col min="14" max="18" width="14.6640625" customWidth="1"/>
    <col min="19" max="19" width="14.6640625" bestFit="1" customWidth="1"/>
    <col min="20" max="21" width="14.6640625" customWidth="1"/>
  </cols>
  <sheetData>
    <row r="1" spans="2:21" ht="16" thickBot="1"/>
    <row r="2" spans="2:21" ht="65" thickBot="1">
      <c r="B2" s="722" t="s">
        <v>288</v>
      </c>
      <c r="C2" s="723"/>
      <c r="D2" s="723"/>
      <c r="E2" s="723"/>
      <c r="F2" s="723"/>
      <c r="G2" s="723"/>
      <c r="H2" s="723"/>
      <c r="I2" s="723"/>
      <c r="J2" s="723"/>
      <c r="K2" s="724"/>
      <c r="L2" s="194"/>
      <c r="M2" s="194"/>
      <c r="N2" s="194"/>
      <c r="O2" s="194"/>
      <c r="P2" s="194"/>
      <c r="Q2" s="194"/>
      <c r="R2" s="194"/>
      <c r="S2" s="252" t="s">
        <v>264</v>
      </c>
      <c r="T2" s="253" t="s">
        <v>160</v>
      </c>
      <c r="U2" s="253"/>
    </row>
    <row r="3" spans="2:21" ht="22" thickBot="1">
      <c r="B3" s="291" t="s">
        <v>90</v>
      </c>
      <c r="C3" s="292">
        <v>2005</v>
      </c>
      <c r="D3" s="292">
        <f>C3+1</f>
        <v>2006</v>
      </c>
      <c r="E3" s="292">
        <f t="shared" ref="E3:U3" si="0">D3+1</f>
        <v>2007</v>
      </c>
      <c r="F3" s="292">
        <f t="shared" si="0"/>
        <v>2008</v>
      </c>
      <c r="G3" s="292">
        <f t="shared" si="0"/>
        <v>2009</v>
      </c>
      <c r="H3" s="292">
        <f t="shared" si="0"/>
        <v>2010</v>
      </c>
      <c r="I3" s="292">
        <f t="shared" si="0"/>
        <v>2011</v>
      </c>
      <c r="J3" s="292">
        <f t="shared" si="0"/>
        <v>2012</v>
      </c>
      <c r="K3" s="292">
        <f t="shared" si="0"/>
        <v>2013</v>
      </c>
      <c r="L3" s="292">
        <f t="shared" si="0"/>
        <v>2014</v>
      </c>
      <c r="M3" s="292">
        <f t="shared" si="0"/>
        <v>2015</v>
      </c>
      <c r="N3" s="292">
        <f t="shared" si="0"/>
        <v>2016</v>
      </c>
      <c r="O3" s="292">
        <f t="shared" si="0"/>
        <v>2017</v>
      </c>
      <c r="P3" s="292">
        <f t="shared" si="0"/>
        <v>2018</v>
      </c>
      <c r="Q3" s="292">
        <f t="shared" si="0"/>
        <v>2019</v>
      </c>
      <c r="R3" s="292">
        <f t="shared" si="0"/>
        <v>2020</v>
      </c>
      <c r="S3" s="292">
        <f t="shared" si="0"/>
        <v>2021</v>
      </c>
      <c r="T3" s="293">
        <f t="shared" si="0"/>
        <v>2022</v>
      </c>
      <c r="U3" s="293">
        <f t="shared" si="0"/>
        <v>2023</v>
      </c>
    </row>
    <row r="4" spans="2:21" ht="17" thickBot="1">
      <c r="B4" s="313" t="s">
        <v>1</v>
      </c>
      <c r="C4" s="314" t="s">
        <v>99</v>
      </c>
      <c r="D4" s="314"/>
      <c r="E4" s="318">
        <v>22202</v>
      </c>
      <c r="F4" s="318">
        <v>22202</v>
      </c>
      <c r="G4" s="318">
        <v>22202</v>
      </c>
      <c r="H4" s="495">
        <f>('Total MT CO2eq'!H4/SF!H4)*1000</f>
        <v>8.5879135741404635</v>
      </c>
      <c r="I4" s="495">
        <f>('Total MT CO2eq'!I4/SF!I4)*1000</f>
        <v>7.8496044808983747</v>
      </c>
      <c r="J4" s="495">
        <f>('Total MT CO2eq'!J4/SF!J4)*1000</f>
        <v>7.5916958974937563</v>
      </c>
      <c r="K4" s="495">
        <f>('Total MT CO2eq'!K4/SF!K4)*1000</f>
        <v>7.7583590985202742</v>
      </c>
      <c r="L4" s="495">
        <f>('Total MT CO2eq'!L4/SF!L4)*1000</f>
        <v>7.023623610068606</v>
      </c>
      <c r="M4" s="495">
        <f>('Total MT CO2eq'!M4/SF!M4)*1000</f>
        <v>6.9177270882550896</v>
      </c>
      <c r="N4" s="495">
        <f>('Total MT CO2eq'!N4/SF!N4)*1000</f>
        <v>6.0165734093443168</v>
      </c>
      <c r="O4" s="495">
        <f>('Total MT CO2eq'!O4/SF!O4)*1000</f>
        <v>7.0062765830906777</v>
      </c>
      <c r="P4" s="495">
        <f>('Total MT CO2eq'!P4/SF!P4)*1000</f>
        <v>7.3722857758911502</v>
      </c>
      <c r="Q4" s="495">
        <f>('Total MT CO2eq'!Q4/SF!Q4)*1000</f>
        <v>7.8707584438559328</v>
      </c>
      <c r="R4" s="495">
        <f>('Total MT CO2eq'!R4/SF!R4)*1000</f>
        <v>7.2674675819849046</v>
      </c>
      <c r="S4" s="495">
        <f>('Total MT CO2eq'!S4/SF!S4)*1000</f>
        <v>5.0317112129546224</v>
      </c>
      <c r="T4" s="495">
        <f>('Total MT CO2eq'!T4/SF!T4)*1000</f>
        <v>7.8786525802786738</v>
      </c>
      <c r="U4" s="495">
        <f>('Total MT CO2eq'!U4/SF!U4)*1000</f>
        <v>15.602125474445181</v>
      </c>
    </row>
    <row r="5" spans="2:21" ht="17" thickBot="1">
      <c r="B5" s="188" t="s">
        <v>265</v>
      </c>
      <c r="C5" s="78">
        <v>29392.907316000001</v>
      </c>
      <c r="D5" s="78">
        <v>25245.4692899</v>
      </c>
      <c r="E5" s="78">
        <v>23567.7629867</v>
      </c>
      <c r="F5" s="78">
        <v>24301.17438909</v>
      </c>
      <c r="G5" s="78">
        <v>24710.197203</v>
      </c>
      <c r="H5" s="495">
        <f>('Total MT CO2eq'!H5/SF!H5)*1000</f>
        <v>7.273789964057527</v>
      </c>
      <c r="I5" s="495">
        <f>('Total MT CO2eq'!I5/SF!I5)*1000</f>
        <v>7.4768955991048509</v>
      </c>
      <c r="J5" s="495">
        <f>('Total MT CO2eq'!J5/SF!J5)*1000</f>
        <v>5.878420095879668</v>
      </c>
      <c r="K5" s="495">
        <f>('Total MT CO2eq'!K5/SF!K5)*1000</f>
        <v>5.9152213038062182</v>
      </c>
      <c r="L5" s="495">
        <f>('Total MT CO2eq'!L5/SF!L5)*1000</f>
        <v>6.5734263897534113</v>
      </c>
      <c r="M5" s="495">
        <f>('Total MT CO2eq'!M5/SF!M5)*1000</f>
        <v>6.0855379841380417</v>
      </c>
      <c r="N5" s="495">
        <f>('Total MT CO2eq'!N5/SF!N5)*1000</f>
        <v>5.4630199767875016</v>
      </c>
      <c r="O5" s="495">
        <f>('Total MT CO2eq'!O5/SF!O5)*1000</f>
        <v>6.0025311237311358</v>
      </c>
      <c r="P5" s="495">
        <f>('Total MT CO2eq'!P5/SF!P5)*1000</f>
        <v>6.1619626825123719</v>
      </c>
      <c r="Q5" s="495">
        <f>('Total MT CO2eq'!Q5/SF!Q5)*1000</f>
        <v>8.866685566248357</v>
      </c>
      <c r="R5" s="495">
        <f>('Total MT CO2eq'!R5/SF!R5)*1000</f>
        <v>8.8635933535200468</v>
      </c>
      <c r="S5" s="495">
        <f>('Total MT CO2eq'!S5/SF!S5)*1000</f>
        <v>4.5336521625540112</v>
      </c>
      <c r="T5" s="495">
        <f>('Total MT CO2eq'!T5/SF!T5)*1000</f>
        <v>6.1922268568781966</v>
      </c>
      <c r="U5" s="495">
        <f>('Total MT CO2eq'!U5/SF!U5)*1000</f>
        <v>5.2720336783748909</v>
      </c>
    </row>
    <row r="6" spans="2:21" ht="17" thickBot="1">
      <c r="B6" s="188" t="s">
        <v>7</v>
      </c>
      <c r="C6" s="78">
        <v>26958.707091</v>
      </c>
      <c r="D6" s="78">
        <v>22368.64675</v>
      </c>
      <c r="E6" s="78">
        <v>35981.860355999997</v>
      </c>
      <c r="F6" s="78">
        <v>31147.881701999999</v>
      </c>
      <c r="G6" s="78">
        <v>32013.69788</v>
      </c>
      <c r="H6" s="495">
        <f>('Total MT CO2eq'!H6/SF!H6)*1000</f>
        <v>6.7258486580393706</v>
      </c>
      <c r="I6" s="495">
        <f>('Total MT CO2eq'!I6/SF!I6)*1000</f>
        <v>6.7736540525089763</v>
      </c>
      <c r="J6" s="495">
        <f>('Total MT CO2eq'!J6/SF!J6)*1000</f>
        <v>5.9695696662517053</v>
      </c>
      <c r="K6" s="495">
        <f>('Total MT CO2eq'!K6/SF!K6)*1000</f>
        <v>6.1093848651232801</v>
      </c>
      <c r="L6" s="495">
        <f>('Total MT CO2eq'!L6/SF!L6)*1000</f>
        <v>6.3523305019632037</v>
      </c>
      <c r="M6" s="495">
        <f>('Total MT CO2eq'!M6/SF!M6)*1000</f>
        <v>6.0764429023363355</v>
      </c>
      <c r="N6" s="495">
        <f>('Total MT CO2eq'!N6/SF!N6)*1000</f>
        <v>5.5964571272538439</v>
      </c>
      <c r="O6" s="495">
        <f>('Total MT CO2eq'!O6/SF!O6)*1000</f>
        <v>6.1281071743275222</v>
      </c>
      <c r="P6" s="495">
        <f>('Total MT CO2eq'!P6/SF!P6)*1000</f>
        <v>7.0709300832892135</v>
      </c>
      <c r="Q6" s="495">
        <f>('Total MT CO2eq'!Q6/SF!Q6)*1000</f>
        <v>7.6992253544334588</v>
      </c>
      <c r="R6" s="495">
        <f>('Total MT CO2eq'!R6/SF!R6)*1000</f>
        <v>6.9415378753309041</v>
      </c>
      <c r="S6" s="495">
        <f>('Total MT CO2eq'!S6/SF!S6)*1000</f>
        <v>5.2279375376695736</v>
      </c>
      <c r="T6" s="495">
        <f>('Total MT CO2eq'!T6/SF!T6)*1000</f>
        <v>7.7275256792454954</v>
      </c>
      <c r="U6" s="495">
        <f>('Total MT CO2eq'!U6/SF!U6)*1000</f>
        <v>6.0201931537217055</v>
      </c>
    </row>
    <row r="7" spans="2:21" ht="17" thickBot="1">
      <c r="B7" s="188" t="s">
        <v>9</v>
      </c>
      <c r="C7" s="78">
        <v>41260.515135000001</v>
      </c>
      <c r="D7" s="78">
        <v>25824.792118000001</v>
      </c>
      <c r="E7" s="78">
        <v>30528.459105950002</v>
      </c>
      <c r="F7" s="78">
        <v>33688.39256</v>
      </c>
      <c r="G7" s="78">
        <v>32236.799940000001</v>
      </c>
      <c r="H7" s="495">
        <f>('Total MT CO2eq'!H7/SF!H7)*1000</f>
        <v>8.7352689031145534</v>
      </c>
      <c r="I7" s="495">
        <f>('Total MT CO2eq'!I7/SF!I7)*1000</f>
        <v>9.1112731418291286</v>
      </c>
      <c r="J7" s="495">
        <f>('Total MT CO2eq'!J7/SF!J7)*1000</f>
        <v>7.7986497598727542</v>
      </c>
      <c r="K7" s="495">
        <f>('Total MT CO2eq'!K7/SF!K7)*1000</f>
        <v>8.4780850840255511</v>
      </c>
      <c r="L7" s="495">
        <f>('Total MT CO2eq'!L7/SF!L7)*1000</f>
        <v>7.8903368604914608</v>
      </c>
      <c r="M7" s="495">
        <f>('Total MT CO2eq'!M7/SF!M7)*1000</f>
        <v>8.2041496248187435</v>
      </c>
      <c r="N7" s="495">
        <f>('Total MT CO2eq'!N7/SF!N7)*1000</f>
        <v>5.9373637238322194</v>
      </c>
      <c r="O7" s="495">
        <f>('Total MT CO2eq'!O7/SF!O7)*1000</f>
        <v>7.1936073894208983</v>
      </c>
      <c r="P7" s="495">
        <f>('Total MT CO2eq'!P7/SF!P7)*1000</f>
        <v>6.8344162110566939</v>
      </c>
      <c r="Q7" s="495">
        <f>('Total MT CO2eq'!Q7/SF!Q7)*1000</f>
        <v>7.3830279624078941</v>
      </c>
      <c r="R7" s="495">
        <f>('Total MT CO2eq'!R7/SF!R7)*1000</f>
        <v>7.6796920103946169</v>
      </c>
      <c r="S7" s="495">
        <f>('Total MT CO2eq'!S7/SF!S7)*1000</f>
        <v>5.7311254129013562</v>
      </c>
      <c r="T7" s="495">
        <f>('Total MT CO2eq'!T7/SF!T7)*1000</f>
        <v>10.766619544784739</v>
      </c>
      <c r="U7" s="495">
        <f>('Total MT CO2eq'!U7/SF!U7)*1000</f>
        <v>9.240117164848213</v>
      </c>
    </row>
    <row r="8" spans="2:21" ht="17" thickBot="1">
      <c r="B8" s="188" t="s">
        <v>11</v>
      </c>
      <c r="C8" s="78">
        <v>55185.231740000003</v>
      </c>
      <c r="D8" s="78">
        <v>41791.779736700002</v>
      </c>
      <c r="E8" s="78">
        <v>46352.603891010003</v>
      </c>
      <c r="F8" s="78">
        <v>40636.004618500003</v>
      </c>
      <c r="G8" s="78">
        <v>31124.459655999999</v>
      </c>
      <c r="H8" s="495">
        <f>('Total MT CO2eq'!H8/SF!H8)*1000</f>
        <v>8.6536387708844824</v>
      </c>
      <c r="I8" s="495">
        <f>('Total MT CO2eq'!I8/SF!I8)*1000</f>
        <v>7.7970787128166776</v>
      </c>
      <c r="J8" s="495">
        <f>('Total MT CO2eq'!J8/SF!J8)*1000</f>
        <v>6.1552405658905043</v>
      </c>
      <c r="K8" s="495">
        <f>('Total MT CO2eq'!K8/SF!K8)*1000</f>
        <v>6.1960070605970028</v>
      </c>
      <c r="L8" s="495">
        <f>('Total MT CO2eq'!L8/SF!L8)*1000</f>
        <v>6.4234287126371212</v>
      </c>
      <c r="M8" s="495">
        <f>('Total MT CO2eq'!M8/SF!M8)*1000</f>
        <v>6.813780323898551</v>
      </c>
      <c r="N8" s="495">
        <f>('Total MT CO2eq'!N8/SF!N8)*1000</f>
        <v>5.8008699991583299</v>
      </c>
      <c r="O8" s="495">
        <f>('Total MT CO2eq'!O8/SF!O8)*1000</f>
        <v>5.7181684016805416</v>
      </c>
      <c r="P8" s="495">
        <f>('Total MT CO2eq'!P8/SF!P8)*1000</f>
        <v>6.7561846228879014</v>
      </c>
      <c r="Q8" s="495">
        <f>('Total MT CO2eq'!Q8/SF!Q8)*1000</f>
        <v>7.6320559576014606</v>
      </c>
      <c r="R8" s="495">
        <f>('Total MT CO2eq'!R8/SF!R8)*1000</f>
        <v>6.1024294118663676</v>
      </c>
      <c r="S8" s="495">
        <f>('Total MT CO2eq'!S8/SF!S8)*1000</f>
        <v>5.2159703448716641</v>
      </c>
      <c r="T8" s="495">
        <f>('Total MT CO2eq'!T8/SF!T8)*1000</f>
        <v>7.3615807422592692</v>
      </c>
      <c r="U8" s="495">
        <f>('Total MT CO2eq'!U8/SF!U8)*1000</f>
        <v>6.1728719652510566</v>
      </c>
    </row>
    <row r="9" spans="2:21" ht="17" thickBot="1">
      <c r="B9" s="188" t="s">
        <v>13</v>
      </c>
      <c r="C9" s="78">
        <v>15868.224007999999</v>
      </c>
      <c r="D9" s="78">
        <v>10499.5081001</v>
      </c>
      <c r="E9" s="78">
        <v>14652.888534600001</v>
      </c>
      <c r="F9" s="78">
        <v>16552.620056100001</v>
      </c>
      <c r="G9" s="78">
        <v>14111.571695000001</v>
      </c>
      <c r="H9" s="495">
        <f>('Total MT CO2eq'!H9/SF!H9)*1000</f>
        <v>7.4735582534118343</v>
      </c>
      <c r="I9" s="495">
        <f>('Total MT CO2eq'!I9/SF!I9)*1000</f>
        <v>6.8964017622124558</v>
      </c>
      <c r="J9" s="495">
        <f>('Total MT CO2eq'!J9/SF!J9)*1000</f>
        <v>6.4457186167930676</v>
      </c>
      <c r="K9" s="495">
        <f>('Total MT CO2eq'!K9/SF!K9)*1000</f>
        <v>6.3777929349089604</v>
      </c>
      <c r="L9" s="495">
        <f>('Total MT CO2eq'!L9/SF!L9)*1000</f>
        <v>5.5394315968705579</v>
      </c>
      <c r="M9" s="495">
        <f>('Total MT CO2eq'!M9/SF!M9)*1000</f>
        <v>5.7589749789513158</v>
      </c>
      <c r="N9" s="495">
        <f>('Total MT CO2eq'!N9/SF!N9)*1000</f>
        <v>5.1926269745683404</v>
      </c>
      <c r="O9" s="495">
        <f>('Total MT CO2eq'!O9/SF!O9)*1000</f>
        <v>6.1684149380469089</v>
      </c>
      <c r="P9" s="495">
        <f>('Total MT CO2eq'!P9/SF!P9)*1000</f>
        <v>7.5068155781474548</v>
      </c>
      <c r="Q9" s="495">
        <f>('Total MT CO2eq'!Q9/SF!Q9)*1000</f>
        <v>7.4346621184246526</v>
      </c>
      <c r="R9" s="495">
        <f>('Total MT CO2eq'!R9/SF!R9)*1000</f>
        <v>6.1309595009702784</v>
      </c>
      <c r="S9" s="495">
        <f>('Total MT CO2eq'!S9/SF!S9)*1000</f>
        <v>4.3170977123400363</v>
      </c>
      <c r="T9" s="495">
        <f>('Total MT CO2eq'!T9/SF!T9)*1000</f>
        <v>5.5572228543554969</v>
      </c>
      <c r="U9" s="495">
        <f>('Total MT CO2eq'!U9/SF!U9)*1000</f>
        <v>6.338134730858064</v>
      </c>
    </row>
    <row r="10" spans="2:21" ht="17" thickBot="1">
      <c r="B10" s="188" t="s">
        <v>15</v>
      </c>
      <c r="C10" s="73">
        <v>15868.224007999999</v>
      </c>
      <c r="D10" s="78">
        <v>10499.5081001</v>
      </c>
      <c r="E10" s="78">
        <v>14652.888534600001</v>
      </c>
      <c r="F10" s="78">
        <v>16552.620056100001</v>
      </c>
      <c r="G10" s="78">
        <v>14111.571695000001</v>
      </c>
      <c r="H10" s="495">
        <f>('Total MT CO2eq'!H10/SF!H10)*1000</f>
        <v>5.2905238488550141</v>
      </c>
      <c r="I10" s="495">
        <f>('Total MT CO2eq'!I10/SF!I10)*1000</f>
        <v>5.1240238583927749</v>
      </c>
      <c r="J10" s="495">
        <f>('Total MT CO2eq'!J10/SF!J10)*1000</f>
        <v>4.1864122406546498</v>
      </c>
      <c r="K10" s="495">
        <f>('Total MT CO2eq'!K10/SF!K10)*1000</f>
        <v>4.1785235446950448</v>
      </c>
      <c r="L10" s="495">
        <f>('Total MT CO2eq'!L10/SF!L10)*1000</f>
        <v>4.308323587992402</v>
      </c>
      <c r="M10" s="495">
        <f>('Total MT CO2eq'!M10/SF!M10)*1000</f>
        <v>7.1230677864355938</v>
      </c>
      <c r="N10" s="495">
        <f>('Total MT CO2eq'!N10/SF!N10)*1000</f>
        <v>7.4314467558992146</v>
      </c>
      <c r="O10" s="495">
        <f>('Total MT CO2eq'!O10/SF!O10)*1000</f>
        <v>6.2829367395133522</v>
      </c>
      <c r="P10" s="495">
        <f>('Total MT CO2eq'!P10/SF!P10)*1000</f>
        <v>5.4118495167909382</v>
      </c>
      <c r="Q10" s="495">
        <f>('Total MT CO2eq'!Q10/SF!Q10)*1000</f>
        <v>6.0961710788903298</v>
      </c>
      <c r="R10" s="495">
        <f>('Total MT CO2eq'!R10/SF!R10)*1000</f>
        <v>6.720276130453831</v>
      </c>
      <c r="S10" s="495">
        <f>('Total MT CO2eq'!S10/SF!S10)*1000</f>
        <v>5.2529867442543443</v>
      </c>
      <c r="T10" s="495">
        <f>('Total MT CO2eq'!T10/SF!T10)*1000</f>
        <v>6.897425918035248</v>
      </c>
      <c r="U10" s="495">
        <f>('Total MT CO2eq'!U10/SF!U10)*1000</f>
        <v>6.3190337711513473</v>
      </c>
    </row>
    <row r="11" spans="2:21" ht="17" thickBot="1">
      <c r="B11" s="188" t="s">
        <v>17</v>
      </c>
      <c r="C11" s="78">
        <v>36376.348841999999</v>
      </c>
      <c r="D11" s="78">
        <v>29910.133901000001</v>
      </c>
      <c r="E11" s="78">
        <v>29510.600627299998</v>
      </c>
      <c r="F11" s="78">
        <v>31753.572598899998</v>
      </c>
      <c r="G11" s="78">
        <v>30727.161136999999</v>
      </c>
      <c r="H11" s="495">
        <f>('Total MT CO2eq'!H11/SF!H11)*1000</f>
        <v>8.324317761153246</v>
      </c>
      <c r="I11" s="495">
        <f>('Total MT CO2eq'!I11/SF!I11)*1000</f>
        <v>7.9838455463091318</v>
      </c>
      <c r="J11" s="495">
        <f>('Total MT CO2eq'!J11/SF!J11)*1000</f>
        <v>6.6262162667124365</v>
      </c>
      <c r="K11" s="495">
        <f>('Total MT CO2eq'!K11/SF!K11)*1000</f>
        <v>7.3009733715253962</v>
      </c>
      <c r="L11" s="495">
        <f>('Total MT CO2eq'!L11/SF!L11)*1000</f>
        <v>7.5145616779252036</v>
      </c>
      <c r="M11" s="495">
        <f>('Total MT CO2eq'!M11/SF!M11)*1000</f>
        <v>6.7541975808509225</v>
      </c>
      <c r="N11" s="495">
        <f>('Total MT CO2eq'!N11/SF!N11)*1000</f>
        <v>5.9913461263538323</v>
      </c>
      <c r="O11" s="495">
        <f>('Total MT CO2eq'!O11/SF!O11)*1000</f>
        <v>6.7908498067971745</v>
      </c>
      <c r="P11" s="495">
        <f>('Total MT CO2eq'!P11/SF!P11)*1000</f>
        <v>6.9768242984378102</v>
      </c>
      <c r="Q11" s="495">
        <f>('Total MT CO2eq'!Q11/SF!Q11)*1000</f>
        <v>6.3877525024008373</v>
      </c>
      <c r="R11" s="495">
        <f>('Total MT CO2eq'!R11/SF!R11)*1000</f>
        <v>5.5373989626534614</v>
      </c>
      <c r="S11" s="495">
        <f>('Total MT CO2eq'!S11/SF!S11)*1000</f>
        <v>4.5076879323050614</v>
      </c>
      <c r="T11" s="495">
        <f>('Total MT CO2eq'!T11/SF!T11)*1000</f>
        <v>5.5660761092035322</v>
      </c>
      <c r="U11" s="495">
        <f>('Total MT CO2eq'!U11/SF!U11)*1000</f>
        <v>5.3707950463342673</v>
      </c>
    </row>
    <row r="12" spans="2:21" ht="17" thickBot="1">
      <c r="B12" s="188" t="s">
        <v>19</v>
      </c>
      <c r="C12" s="82">
        <f>AVERAGE(F12:I12)</f>
        <v>10246.335595496575</v>
      </c>
      <c r="D12" s="82">
        <f>AVERAGE(G12:J12)</f>
        <v>5794.6905211003996</v>
      </c>
      <c r="E12" s="82">
        <f>AVERAGE(H12:K12)</f>
        <v>6.8452878750249395</v>
      </c>
      <c r="F12" s="78">
        <v>17812.716152699999</v>
      </c>
      <c r="G12" s="78">
        <v>23156.974675000001</v>
      </c>
      <c r="H12" s="495">
        <f>('Total MT CO2eq'!H12/SF!H12)*1000</f>
        <v>7.547306525610435</v>
      </c>
      <c r="I12" s="495">
        <f>('Total MT CO2eq'!I12/SF!I12)*1000</f>
        <v>8.1042477606922336</v>
      </c>
      <c r="J12" s="495">
        <f>('Total MT CO2eq'!J12/SF!J12)*1000</f>
        <v>6.1358551152919265</v>
      </c>
      <c r="K12" s="495">
        <f>('Total MT CO2eq'!K12/SF!K12)*1000</f>
        <v>5.5937420985051629</v>
      </c>
      <c r="L12" s="495">
        <f>('Total MT CO2eq'!L12/SF!L12)*1000</f>
        <v>6.1432909705389074</v>
      </c>
      <c r="M12" s="495">
        <f>('Total MT CO2eq'!M12/SF!M12)*1000</f>
        <v>5.7104368056842834</v>
      </c>
      <c r="N12" s="495">
        <f>('Total MT CO2eq'!N12/SF!N12)*1000</f>
        <v>5.4018094237700787</v>
      </c>
      <c r="O12" s="495">
        <f>('Total MT CO2eq'!O12/SF!O12)*1000</f>
        <v>6.1250793073850751</v>
      </c>
      <c r="P12" s="495">
        <f>('Total MT CO2eq'!P12/SF!P12)*1000</f>
        <v>6.7404789898874444</v>
      </c>
      <c r="Q12" s="495">
        <f>('Total MT CO2eq'!Q12/SF!Q12)*1000</f>
        <v>6.2403889911027148</v>
      </c>
      <c r="R12" s="495">
        <f>('Total MT CO2eq'!R12/SF!R12)*1000</f>
        <v>5.5437612669917353</v>
      </c>
      <c r="S12" s="495">
        <f>('Total MT CO2eq'!S12/SF!S12)*1000</f>
        <v>4.5291213741645429</v>
      </c>
      <c r="T12" s="495">
        <f>('Total MT CO2eq'!T12/SF!T12)*1000</f>
        <v>8.1262578997833295</v>
      </c>
      <c r="U12" s="495">
        <f>('Total MT CO2eq'!U12/SF!U12)*1000</f>
        <v>6.3169960739306283</v>
      </c>
    </row>
    <row r="13" spans="2:21" ht="17" thickBot="1">
      <c r="B13" s="188" t="s">
        <v>21</v>
      </c>
      <c r="C13" s="78">
        <v>22235.645260000001</v>
      </c>
      <c r="D13" s="78">
        <v>16106.949925000001</v>
      </c>
      <c r="E13" s="78">
        <v>16458.874127999999</v>
      </c>
      <c r="F13" s="78">
        <v>19919.940526999999</v>
      </c>
      <c r="G13" s="78">
        <v>24531.671814000001</v>
      </c>
      <c r="H13" s="495">
        <f>('Total MT CO2eq'!H13/SF!H13)*1000</f>
        <v>9.6823348181163347</v>
      </c>
      <c r="I13" s="495">
        <f>('Total MT CO2eq'!I13/SF!I13)*1000</f>
        <v>9.9309529534379415</v>
      </c>
      <c r="J13" s="495">
        <f>('Total MT CO2eq'!J13/SF!J13)*1000</f>
        <v>9.1192367755024168</v>
      </c>
      <c r="K13" s="495">
        <f>('Total MT CO2eq'!K13/SF!K13)*1000</f>
        <v>9.3244017877990739</v>
      </c>
      <c r="L13" s="495">
        <f>('Total MT CO2eq'!L13/SF!L13)*1000</f>
        <v>8.0144873860704724</v>
      </c>
      <c r="M13" s="495">
        <f>('Total MT CO2eq'!M13/SF!M13)*1000</f>
        <v>8.0046822394016051</v>
      </c>
      <c r="N13" s="495">
        <f>('Total MT CO2eq'!N13/SF!N13)*1000</f>
        <v>7.4359845565702107</v>
      </c>
      <c r="O13" s="495">
        <f>('Total MT CO2eq'!O13/SF!O13)*1000</f>
        <v>6.7812376663932703</v>
      </c>
      <c r="P13" s="495">
        <f>('Total MT CO2eq'!P13/SF!P13)*1000</f>
        <v>8.3420281890253172</v>
      </c>
      <c r="Q13" s="495">
        <f>('Total MT CO2eq'!Q13/SF!Q13)*1000</f>
        <v>6.3715417228639515</v>
      </c>
      <c r="R13" s="495">
        <f>('Total MT CO2eq'!R13/SF!R13)*1000</f>
        <v>6.461960928133669</v>
      </c>
      <c r="S13" s="495">
        <f>('Total MT CO2eq'!S13/SF!S13)*1000</f>
        <v>5.7794353254687865</v>
      </c>
      <c r="T13" s="495">
        <f>('Total MT CO2eq'!T13/SF!T13)*1000</f>
        <v>6.2688051912721585</v>
      </c>
      <c r="U13" s="495">
        <f>('Total MT CO2eq'!U13/SF!U13)*1000</f>
        <v>4.1277900798267986</v>
      </c>
    </row>
    <row r="14" spans="2:21" ht="17" thickBot="1">
      <c r="B14" s="188" t="s">
        <v>23</v>
      </c>
      <c r="C14" s="78">
        <v>32954.065970000003</v>
      </c>
      <c r="D14" s="78">
        <v>27366.341971999998</v>
      </c>
      <c r="E14" s="78">
        <v>31742.835739999999</v>
      </c>
      <c r="F14" s="78">
        <v>37319.754931000003</v>
      </c>
      <c r="G14" s="78">
        <v>34419.529882000003</v>
      </c>
      <c r="H14" s="495">
        <f>('Total MT CO2eq'!H14/SF!H14)*1000</f>
        <v>7.0621276469908905</v>
      </c>
      <c r="I14" s="495">
        <f>('Total MT CO2eq'!I14/SF!I14)*1000</f>
        <v>7.0846465584554394</v>
      </c>
      <c r="J14" s="495">
        <f>('Total MT CO2eq'!J14/SF!J14)*1000</f>
        <v>4.8952555437364271</v>
      </c>
      <c r="K14" s="495">
        <f>('Total MT CO2eq'!K14/SF!K14)*1000</f>
        <v>4.9516676133367916</v>
      </c>
      <c r="L14" s="495">
        <f>('Total MT CO2eq'!L14/SF!L14)*1000</f>
        <v>5.8020496122577141</v>
      </c>
      <c r="M14" s="495">
        <f>('Total MT CO2eq'!M14/SF!M14)*1000</f>
        <v>5.6893786392426771</v>
      </c>
      <c r="N14" s="495">
        <f>('Total MT CO2eq'!N14/SF!N14)*1000</f>
        <v>4.3428288562596142</v>
      </c>
      <c r="O14" s="495">
        <f>('Total MT CO2eq'!O14/SF!O14)*1000</f>
        <v>5.6672772605580217</v>
      </c>
      <c r="P14" s="495">
        <f>('Total MT CO2eq'!P14/SF!P14)*1000</f>
        <v>6.6639656620791605</v>
      </c>
      <c r="Q14" s="495">
        <f>('Total MT CO2eq'!Q14/SF!Q14)*1000</f>
        <v>6.3087432427777355</v>
      </c>
      <c r="R14" s="495">
        <f>('Total MT CO2eq'!R14/SF!R14)*1000</f>
        <v>5.2114937802806303</v>
      </c>
      <c r="S14" s="495">
        <f>('Total MT CO2eq'!S14/SF!S14)*1000</f>
        <v>3.7585875044460835</v>
      </c>
      <c r="T14" s="495">
        <f>('Total MT CO2eq'!T14/SF!T14)*1000</f>
        <v>7.9060237892979739</v>
      </c>
      <c r="U14" s="495">
        <f>('Total MT CO2eq'!U14/SF!U14)*1000</f>
        <v>5.2783467875743604</v>
      </c>
    </row>
    <row r="15" spans="2:21" ht="17" thickBot="1">
      <c r="B15" s="188" t="s">
        <v>25</v>
      </c>
      <c r="C15" s="82"/>
      <c r="D15" s="78">
        <v>25643.316248800002</v>
      </c>
      <c r="E15" s="78">
        <v>30582.7721155</v>
      </c>
      <c r="F15" s="78">
        <v>29897.047770000001</v>
      </c>
      <c r="G15" s="78">
        <v>31472.388438000002</v>
      </c>
      <c r="H15" s="495">
        <f>('Total MT CO2eq'!H15/SF!H15)*1000</f>
        <v>7.0686573987571553</v>
      </c>
      <c r="I15" s="495">
        <f>('Total MT CO2eq'!I15/SF!I15)*1000</f>
        <v>6.9833998640149613</v>
      </c>
      <c r="J15" s="495">
        <f>('Total MT CO2eq'!J15/SF!J15)*1000</f>
        <v>5.7627322195504052</v>
      </c>
      <c r="K15" s="495">
        <f>('Total MT CO2eq'!K15/SF!K15)*1000</f>
        <v>5.9778125784205427</v>
      </c>
      <c r="L15" s="495">
        <f>('Total MT CO2eq'!L15/SF!L15)*1000</f>
        <v>6.3666234273286699</v>
      </c>
      <c r="M15" s="495">
        <f>('Total MT CO2eq'!M15/SF!M15)*1000</f>
        <v>6.8166082281711269</v>
      </c>
      <c r="N15" s="495">
        <f>('Total MT CO2eq'!N15/SF!N15)*1000</f>
        <v>5.7472029844222092</v>
      </c>
      <c r="O15" s="495">
        <f>('Total MT CO2eq'!O15/SF!O15)*1000</f>
        <v>5.1313781767135316</v>
      </c>
      <c r="P15" s="495">
        <f>('Total MT CO2eq'!P15/SF!P15)*1000</f>
        <v>8.2728215719257694</v>
      </c>
      <c r="Q15" s="495">
        <f>('Total MT CO2eq'!Q15/SF!Q15)*1000</f>
        <v>7.3088837796508619</v>
      </c>
      <c r="R15" s="495">
        <f>('Total MT CO2eq'!R15/SF!R15)*1000</f>
        <v>6.5188878206985779</v>
      </c>
      <c r="S15" s="495">
        <f>('Total MT CO2eq'!S15/SF!S15)*1000</f>
        <v>4.7844797306968587</v>
      </c>
      <c r="T15" s="495">
        <f>('Total MT CO2eq'!T15/SF!T15)*1000</f>
        <v>5.8169236803351163</v>
      </c>
      <c r="U15" s="495">
        <f>('Total MT CO2eq'!U15/SF!U15)*1000</f>
        <v>4.4141082166617283</v>
      </c>
    </row>
    <row r="16" spans="2:21" ht="17" thickBot="1">
      <c r="B16" s="188" t="s">
        <v>27</v>
      </c>
      <c r="C16" s="78">
        <v>33802.339789899997</v>
      </c>
      <c r="D16" s="78">
        <v>25884.503594999998</v>
      </c>
      <c r="E16" s="78">
        <v>29612.855920000002</v>
      </c>
      <c r="F16" s="78">
        <v>28422.651153999999</v>
      </c>
      <c r="G16" s="78">
        <v>35606.199775000001</v>
      </c>
      <c r="H16" s="495">
        <f>('Total MT CO2eq'!H16/SF!H16)*1000</f>
        <v>9.7161564003136327</v>
      </c>
      <c r="I16" s="495">
        <f>('Total MT CO2eq'!I16/SF!I16)*1000</f>
        <v>9.56505949859738</v>
      </c>
      <c r="J16" s="495">
        <f>('Total MT CO2eq'!J16/SF!J16)*1000</f>
        <v>8.4571749902327493</v>
      </c>
      <c r="K16" s="495">
        <f>('Total MT CO2eq'!K16/SF!K16)*1000</f>
        <v>7.8203817417813237</v>
      </c>
      <c r="L16" s="495">
        <f>('Total MT CO2eq'!L16/SF!L16)*1000</f>
        <v>8.6114067798014187</v>
      </c>
      <c r="M16" s="495">
        <f>('Total MT CO2eq'!M16/SF!M16)*1000</f>
        <v>8.1629750871192499</v>
      </c>
      <c r="N16" s="495">
        <f>('Total MT CO2eq'!N16/SF!N16)*1000</f>
        <v>7.7812059245173284</v>
      </c>
      <c r="O16" s="495">
        <f>('Total MT CO2eq'!O16/SF!O16)*1000</f>
        <v>9.8009562483134793</v>
      </c>
      <c r="P16" s="495">
        <f>('Total MT CO2eq'!P16/SF!P16)*1000</f>
        <v>10.113901586908058</v>
      </c>
      <c r="Q16" s="495">
        <f>('Total MT CO2eq'!Q16/SF!Q16)*1000</f>
        <v>11.512121998934965</v>
      </c>
      <c r="R16" s="495">
        <f>('Total MT CO2eq'!R16/SF!R16)*1000</f>
        <v>10.033651115093933</v>
      </c>
      <c r="S16" s="495">
        <f>('Total MT CO2eq'!S16/SF!S16)*1000</f>
        <v>7.8662932542520467</v>
      </c>
      <c r="T16" s="495">
        <f>('Total MT CO2eq'!T16/SF!T16)*1000</f>
        <v>10.020577258039452</v>
      </c>
      <c r="U16" s="495">
        <f>('Total MT CO2eq'!U16/SF!U16)*1000</f>
        <v>8.6442650053819321</v>
      </c>
    </row>
    <row r="17" spans="2:21" ht="17" thickBot="1">
      <c r="B17" s="188" t="s">
        <v>29</v>
      </c>
      <c r="C17" s="78">
        <v>27115.660145000002</v>
      </c>
      <c r="D17" s="78">
        <v>19455.070899400002</v>
      </c>
      <c r="E17" s="78">
        <v>32611.9166286</v>
      </c>
      <c r="F17" s="78">
        <v>22112.878865899998</v>
      </c>
      <c r="G17" s="78">
        <v>23708.932350999999</v>
      </c>
      <c r="H17" s="495">
        <f>('Total MT CO2eq'!H17/SF!H17)*1000</f>
        <v>7.3628905130470494</v>
      </c>
      <c r="I17" s="495">
        <f>('Total MT CO2eq'!I17/SF!I17)*1000</f>
        <v>7.8091517680767417</v>
      </c>
      <c r="J17" s="495">
        <f>('Total MT CO2eq'!J17/SF!J17)*1000</f>
        <v>6.8997869386756703</v>
      </c>
      <c r="K17" s="495">
        <f>('Total MT CO2eq'!K17/SF!K17)*1000</f>
        <v>6.292862845978739</v>
      </c>
      <c r="L17" s="495">
        <f>('Total MT CO2eq'!L17/SF!L17)*1000</f>
        <v>6.3608293414495449</v>
      </c>
      <c r="M17" s="495">
        <f>('Total MT CO2eq'!M17/SF!M17)*1000</f>
        <v>6.464422725265778</v>
      </c>
      <c r="N17" s="495">
        <f>('Total MT CO2eq'!N17/SF!N17)*1000</f>
        <v>5.7092167605850159</v>
      </c>
      <c r="O17" s="495">
        <f>('Total MT CO2eq'!O17/SF!O17)*1000</f>
        <v>6.0485818772494646</v>
      </c>
      <c r="P17" s="495">
        <f>('Total MT CO2eq'!P17/SF!P17)*1000</f>
        <v>6.2945235101753783</v>
      </c>
      <c r="Q17" s="495">
        <f>('Total MT CO2eq'!Q17/SF!Q17)*1000</f>
        <v>5.6598849282332608</v>
      </c>
      <c r="R17" s="495">
        <f>('Total MT CO2eq'!R17/SF!R17)*1000</f>
        <v>5.3842608946669568</v>
      </c>
      <c r="S17" s="495">
        <f>('Total MT CO2eq'!S17/SF!S17)*1000</f>
        <v>4.1820354910641999</v>
      </c>
      <c r="T17" s="495">
        <f>('Total MT CO2eq'!T17/SF!T17)*1000</f>
        <v>5.203150780881181</v>
      </c>
      <c r="U17" s="495">
        <f>('Total MT CO2eq'!U17/SF!U17)*1000</f>
        <v>4.801402843603892</v>
      </c>
    </row>
    <row r="18" spans="2:21" ht="17" thickBot="1">
      <c r="B18" s="188" t="s">
        <v>31</v>
      </c>
      <c r="C18" s="82"/>
      <c r="D18" s="82"/>
      <c r="E18" s="71">
        <v>26335.824489300001</v>
      </c>
      <c r="F18" s="71">
        <v>29449.343841800001</v>
      </c>
      <c r="G18" s="71">
        <v>26117.360974899999</v>
      </c>
      <c r="H18" s="495">
        <f>('Total MT CO2eq'!H18/SF!H18)*1000</f>
        <v>7.8488841570082384</v>
      </c>
      <c r="I18" s="495">
        <f>('Total MT CO2eq'!I18/SF!I18)*1000</f>
        <v>7.7486439259360251</v>
      </c>
      <c r="J18" s="495">
        <f>('Total MT CO2eq'!J18/SF!J18)*1000</f>
        <v>6.4813000535295897</v>
      </c>
      <c r="K18" s="495">
        <f>('Total MT CO2eq'!K18/SF!K18)*1000</f>
        <v>6.4404058712142866</v>
      </c>
      <c r="L18" s="495">
        <f>('Total MT CO2eq'!L18/SF!L18)*1000</f>
        <v>6.3469975903569624</v>
      </c>
      <c r="M18" s="495">
        <f>('Total MT CO2eq'!M18/SF!M18)*1000</f>
        <v>8.1835923564361686</v>
      </c>
      <c r="N18" s="495">
        <f>('Total MT CO2eq'!N18/SF!N18)*1000</f>
        <v>6.2384130692803721</v>
      </c>
      <c r="O18" s="495">
        <f>('Total MT CO2eq'!O18/SF!O18)*1000</f>
        <v>5.7954772568024513</v>
      </c>
      <c r="P18" s="495">
        <f>('Total MT CO2eq'!P18/SF!P18)*1000</f>
        <v>5.954502673462609</v>
      </c>
      <c r="Q18" s="495">
        <f>('Total MT CO2eq'!Q18/SF!Q18)*1000</f>
        <v>6.9553534738756948</v>
      </c>
      <c r="R18" s="495">
        <f>('Total MT CO2eq'!R18/SF!R18)*1000</f>
        <v>7.4375052040962126</v>
      </c>
      <c r="S18" s="495">
        <f>('Total MT CO2eq'!S18/SF!S18)*1000</f>
        <v>5.5904188247984967</v>
      </c>
      <c r="T18" s="495">
        <f>('Total MT CO2eq'!T18/SF!T18)*1000</f>
        <v>6.9340974203460801</v>
      </c>
      <c r="U18" s="495">
        <f>('Total MT CO2eq'!U18/SF!U18)*1000</f>
        <v>5.3693687360172051</v>
      </c>
    </row>
    <row r="19" spans="2:21" ht="17" thickBot="1">
      <c r="B19" s="188" t="s">
        <v>33</v>
      </c>
      <c r="C19" s="78">
        <v>10932.7889196</v>
      </c>
      <c r="D19" s="78">
        <v>7756.4843182000004</v>
      </c>
      <c r="E19" s="78">
        <v>25730.283267999999</v>
      </c>
      <c r="F19" s="78">
        <v>5956.3838859999996</v>
      </c>
      <c r="G19" s="78">
        <v>11052.895769000001</v>
      </c>
      <c r="H19" s="495">
        <f>('Total MT CO2eq'!H19/SF!H19)*1000</f>
        <v>10.149777173105292</v>
      </c>
      <c r="I19" s="495">
        <f>('Total MT CO2eq'!I19/SF!I19)*1000</f>
        <v>9.0723762172377</v>
      </c>
      <c r="J19" s="495">
        <f>('Total MT CO2eq'!J19/SF!J19)*1000</f>
        <v>9.1588773195293136</v>
      </c>
      <c r="K19" s="495">
        <f>('Total MT CO2eq'!K19/SF!K19)*1000</f>
        <v>8.3673531283859663</v>
      </c>
      <c r="L19" s="495">
        <f>('Total MT CO2eq'!L19/SF!L19)*1000</f>
        <v>9.4851389821208176</v>
      </c>
      <c r="M19" s="495">
        <f>('Total MT CO2eq'!M19/SF!M19)*1000</f>
        <v>8.9220036637105071</v>
      </c>
      <c r="N19" s="495">
        <f>('Total MT CO2eq'!N19/SF!N19)*1000</f>
        <v>7.1624692415454962</v>
      </c>
      <c r="O19" s="495">
        <f>('Total MT CO2eq'!O19/SF!O19)*1000</f>
        <v>8.5132191077854351</v>
      </c>
      <c r="P19" s="495">
        <f>('Total MT CO2eq'!P19/SF!P19)*1000</f>
        <v>7.5680889383959844</v>
      </c>
      <c r="Q19" s="495">
        <f>('Total MT CO2eq'!Q19/SF!Q19)*1000</f>
        <v>8.0172540706293525</v>
      </c>
      <c r="R19" s="495">
        <f>('Total MT CO2eq'!R19/SF!R19)*1000</f>
        <v>5.9762265514992938</v>
      </c>
      <c r="S19" s="495">
        <f>('Total MT CO2eq'!S19/SF!S19)*1000</f>
        <v>4.1782345536934571</v>
      </c>
      <c r="T19" s="495">
        <f>('Total MT CO2eq'!T19/SF!T19)*1000</f>
        <v>6.5804595887006396</v>
      </c>
      <c r="U19" s="495">
        <f>('Total MT CO2eq'!U19/SF!U19)*1000</f>
        <v>5.4362365579866054</v>
      </c>
    </row>
    <row r="20" spans="2:21" ht="17" thickBot="1">
      <c r="B20" s="188" t="s">
        <v>74</v>
      </c>
      <c r="C20" s="78">
        <v>41438.364370000003</v>
      </c>
      <c r="D20" s="78">
        <v>40902.609424000002</v>
      </c>
      <c r="E20" s="78">
        <v>39202.730229000001</v>
      </c>
      <c r="F20" s="78">
        <v>50312.264365000003</v>
      </c>
      <c r="G20" s="78">
        <v>59819.244203000002</v>
      </c>
      <c r="H20" s="495">
        <f>('Total MT CO2eq'!H20/SF!H20)*1000</f>
        <v>8.5551923882368932</v>
      </c>
      <c r="I20" s="495">
        <f>('Total MT CO2eq'!I20/SF!I20)*1000</f>
        <v>8.495727473261125</v>
      </c>
      <c r="J20" s="495">
        <f>('Total MT CO2eq'!J20/SF!J20)*1000</f>
        <v>7.8315465993230724</v>
      </c>
      <c r="K20" s="495">
        <f>('Total MT CO2eq'!K20/SF!K20)*1000</f>
        <v>7.9895913105247054</v>
      </c>
      <c r="L20" s="495">
        <f>('Total MT CO2eq'!L20/SF!L20)*1000</f>
        <v>8.0288641622714643</v>
      </c>
      <c r="M20" s="495">
        <f>('Total MT CO2eq'!M20/SF!M20)*1000</f>
        <v>8.5050868354781493</v>
      </c>
      <c r="N20" s="495">
        <f>('Total MT CO2eq'!N20/SF!N20)*1000</f>
        <v>7.6692115547346109</v>
      </c>
      <c r="O20" s="495">
        <f>('Total MT CO2eq'!O20/SF!O20)*1000</f>
        <v>7.9842986837156991</v>
      </c>
      <c r="P20" s="495">
        <f>('Total MT CO2eq'!P20/SF!P20)*1000</f>
        <v>7.3465442820972955</v>
      </c>
      <c r="Q20" s="495">
        <f>('Total MT CO2eq'!Q20/SF!Q20)*1000</f>
        <v>6.7185118061073164</v>
      </c>
      <c r="R20" s="495">
        <f>('Total MT CO2eq'!R20/SF!R20)*1000</f>
        <v>5.051558252148217</v>
      </c>
      <c r="S20" s="495">
        <f>('Total MT CO2eq'!S20/SF!S20)*1000</f>
        <v>3.6747403828720815</v>
      </c>
      <c r="T20" s="495">
        <f>('Total MT CO2eq'!T20/SF!T20)*1000</f>
        <v>5.3386966015783051</v>
      </c>
      <c r="U20" s="495">
        <f>('Total MT CO2eq'!U20/SF!U20)*1000</f>
        <v>5.2260367835938899</v>
      </c>
    </row>
    <row r="21" spans="2:21" ht="17" thickBot="1">
      <c r="B21" s="188" t="s">
        <v>36</v>
      </c>
      <c r="C21" s="83">
        <v>26357.37327</v>
      </c>
      <c r="D21" s="83">
        <v>20248.715385</v>
      </c>
      <c r="E21" s="83">
        <v>23215.996350099998</v>
      </c>
      <c r="F21" s="83">
        <v>27176.884966099999</v>
      </c>
      <c r="G21" s="83">
        <v>30401.557197400001</v>
      </c>
      <c r="H21" s="495">
        <f>('Total MT CO2eq'!H21/SF!H21)*1000</f>
        <v>6.6067419668076663</v>
      </c>
      <c r="I21" s="495">
        <f>('Total MT CO2eq'!I21/SF!I21)*1000</f>
        <v>6.5248423531024144</v>
      </c>
      <c r="J21" s="495">
        <f>('Total MT CO2eq'!J21/SF!J21)*1000</f>
        <v>5.1359171368809617</v>
      </c>
      <c r="K21" s="495">
        <f>('Total MT CO2eq'!K21/SF!K21)*1000</f>
        <v>4.9690737812138801</v>
      </c>
      <c r="L21" s="495">
        <f>('Total MT CO2eq'!L21/SF!L21)*1000</f>
        <v>5.7085223742638718</v>
      </c>
      <c r="M21" s="495">
        <f>('Total MT CO2eq'!M21/SF!M21)*1000</f>
        <v>4.5756441700761883</v>
      </c>
      <c r="N21" s="495">
        <f>('Total MT CO2eq'!N21/SF!N21)*1000</f>
        <v>5.9165630088801615</v>
      </c>
      <c r="O21" s="495">
        <f>('Total MT CO2eq'!O21/SF!O21)*1000</f>
        <v>5.2324765653667766</v>
      </c>
      <c r="P21" s="495">
        <f>('Total MT CO2eq'!P21/SF!P21)*1000</f>
        <v>5.2382961054767749</v>
      </c>
      <c r="Q21" s="495">
        <f>('Total MT CO2eq'!Q21/SF!Q21)*1000</f>
        <v>5.0068171548066358</v>
      </c>
      <c r="R21" s="495">
        <f>('Total MT CO2eq'!R21/SF!R21)*1000</f>
        <v>4.4311452424186557</v>
      </c>
      <c r="S21" s="495">
        <f>('Total MT CO2eq'!S21/SF!S21)*1000</f>
        <v>3.7763351671743388</v>
      </c>
      <c r="T21" s="495">
        <f>('Total MT CO2eq'!T21/SF!T21)*1000</f>
        <v>4.9218166030503827</v>
      </c>
      <c r="U21" s="495">
        <f>('Total MT CO2eq'!U21/SF!U21)*1000</f>
        <v>3.9963370366766746</v>
      </c>
    </row>
    <row r="22" spans="2:21" ht="17" thickBot="1">
      <c r="B22" s="188" t="s">
        <v>67</v>
      </c>
      <c r="C22" s="83">
        <v>42607.673790699999</v>
      </c>
      <c r="D22" s="83">
        <v>34021.311665000001</v>
      </c>
      <c r="E22" s="83">
        <v>36591.378233000003</v>
      </c>
      <c r="F22" s="83">
        <v>47132.2717405</v>
      </c>
      <c r="G22" s="83">
        <v>51203.201454000002</v>
      </c>
      <c r="H22" s="495">
        <f>('Total MT CO2eq'!H22/SF!H22)*1000</f>
        <v>9.9188370904818353</v>
      </c>
      <c r="I22" s="495">
        <f>('Total MT CO2eq'!I22/SF!I22)*1000</f>
        <v>10.007474842204108</v>
      </c>
      <c r="J22" s="495">
        <f>('Total MT CO2eq'!J22/SF!J22)*1000</f>
        <v>8.1542208845481454</v>
      </c>
      <c r="K22" s="495">
        <f>('Total MT CO2eq'!K22/SF!K22)*1000</f>
        <v>7.9265524333361306</v>
      </c>
      <c r="L22" s="495">
        <f>('Total MT CO2eq'!L22/SF!L22)*1000</f>
        <v>7.4114083583312285</v>
      </c>
      <c r="M22" s="495">
        <f>('Total MT CO2eq'!M22/SF!M22)*1000</f>
        <v>5.7644022375980839</v>
      </c>
      <c r="N22" s="495">
        <f>('Total MT CO2eq'!N22/SF!N22)*1000</f>
        <v>5.891870024570161</v>
      </c>
      <c r="O22" s="495">
        <f>('Total MT CO2eq'!O22/SF!O22)*1000</f>
        <v>9.0101501910647723</v>
      </c>
      <c r="P22" s="495">
        <f>('Total MT CO2eq'!P22/SF!P22)*1000</f>
        <v>9.171893602600802</v>
      </c>
      <c r="Q22" s="495">
        <f>('Total MT CO2eq'!Q22/SF!Q22)*1000</f>
        <v>8.5294824066822272</v>
      </c>
      <c r="R22" s="495">
        <f>('Total MT CO2eq'!R22/SF!R22)*1000</f>
        <v>7.0209037867263993</v>
      </c>
      <c r="S22" s="495">
        <f>('Total MT CO2eq'!S22/SF!S22)*1000</f>
        <v>7.338205184744842</v>
      </c>
      <c r="T22" s="495">
        <f>('Total MT CO2eq'!T22/SF!T22)*1000</f>
        <v>8.8804374451678445</v>
      </c>
      <c r="U22" s="495">
        <f>('Total MT CO2eq'!U22/SF!U22)*1000</f>
        <v>7.0742633757845796</v>
      </c>
    </row>
    <row r="23" spans="2:21" ht="17" thickBot="1">
      <c r="B23" s="188" t="s">
        <v>39</v>
      </c>
      <c r="C23" s="83">
        <v>24265.77248</v>
      </c>
      <c r="D23" s="83">
        <v>27312.000304000001</v>
      </c>
      <c r="E23" s="83">
        <v>27225.040879</v>
      </c>
      <c r="F23" s="83">
        <v>29110.445275999999</v>
      </c>
      <c r="G23" s="83">
        <v>28463.616307</v>
      </c>
      <c r="H23" s="495">
        <f>('Total MT CO2eq'!H23/SF!H23)*1000</f>
        <v>7.1928862302212373</v>
      </c>
      <c r="I23" s="495">
        <f>('Total MT CO2eq'!I23/SF!I23)*1000</f>
        <v>7.8539286704224791</v>
      </c>
      <c r="J23" s="495">
        <f>('Total MT CO2eq'!J23/SF!J23)*1000</f>
        <v>7.1314701019256983</v>
      </c>
      <c r="K23" s="495">
        <f>('Total MT CO2eq'!K23/SF!K23)*1000</f>
        <v>6.9120431064633445</v>
      </c>
      <c r="L23" s="495">
        <f>('Total MT CO2eq'!L23/SF!L23)*1000</f>
        <v>6.8570779337181005</v>
      </c>
      <c r="M23" s="495">
        <f>('Total MT CO2eq'!M23/SF!M23)*1000</f>
        <v>6.2712092046867651</v>
      </c>
      <c r="N23" s="495">
        <f>('Total MT CO2eq'!N23/SF!N23)*1000</f>
        <v>5.6676045893209617</v>
      </c>
      <c r="O23" s="495">
        <f>('Total MT CO2eq'!O23/SF!O23)*1000</f>
        <v>5.9194003025905273</v>
      </c>
      <c r="P23" s="495">
        <f>('Total MT CO2eq'!P23/SF!P23)*1000</f>
        <v>5.9709730916975365</v>
      </c>
      <c r="Q23" s="495">
        <f>('Total MT CO2eq'!Q23/SF!Q23)*1000</f>
        <v>6.6014517155903274</v>
      </c>
      <c r="R23" s="495">
        <f>('Total MT CO2eq'!R23/SF!R23)*1000</f>
        <v>5.5032522753298521</v>
      </c>
      <c r="S23" s="495">
        <f>('Total MT CO2eq'!S23/SF!S23)*1000</f>
        <v>5.1906321206120767</v>
      </c>
      <c r="T23" s="495">
        <f>('Total MT CO2eq'!T23/SF!T23)*1000</f>
        <v>6.7500023700102796</v>
      </c>
      <c r="U23" s="495">
        <f>('Total MT CO2eq'!U23/SF!U23)*1000</f>
        <v>5.7367655578798331</v>
      </c>
    </row>
    <row r="24" spans="2:21" ht="17" thickBot="1">
      <c r="B24" s="188" t="s">
        <v>41</v>
      </c>
      <c r="C24" s="83">
        <v>32076.397067999998</v>
      </c>
      <c r="D24" s="83">
        <v>29721.626858</v>
      </c>
      <c r="E24" s="83">
        <v>28264.888778</v>
      </c>
      <c r="F24" s="83">
        <v>29371.789300199998</v>
      </c>
      <c r="G24" s="83">
        <v>26528.464816</v>
      </c>
      <c r="H24" s="495">
        <f>('Total MT CO2eq'!H24/SF!H24)*1000</f>
        <v>10.310367455658721</v>
      </c>
      <c r="I24" s="495">
        <f>('Total MT CO2eq'!I24/SF!I24)*1000</f>
        <v>8.3142391541895133</v>
      </c>
      <c r="J24" s="495">
        <f>('Total MT CO2eq'!J24/SF!J24)*1000</f>
        <v>6.303260515398037</v>
      </c>
      <c r="K24" s="495">
        <f>('Total MT CO2eq'!K24/SF!K24)*1000</f>
        <v>6.279916433501505</v>
      </c>
      <c r="L24" s="495">
        <f>('Total MT CO2eq'!L24/SF!L24)*1000</f>
        <v>6.9513728499793102</v>
      </c>
      <c r="M24" s="495">
        <f>('Total MT CO2eq'!M24/SF!M24)*1000</f>
        <v>8.331559127241924</v>
      </c>
      <c r="N24" s="495">
        <f>('Total MT CO2eq'!N24/SF!N24)*1000</f>
        <v>6.1851004156745271</v>
      </c>
      <c r="O24" s="495">
        <f>('Total MT CO2eq'!O24/SF!O24)*1000</f>
        <v>7.1042712074146346</v>
      </c>
      <c r="P24" s="495">
        <f>('Total MT CO2eq'!P24/SF!P24)*1000</f>
        <v>7.923092948495289</v>
      </c>
      <c r="Q24" s="495">
        <f>('Total MT CO2eq'!Q24/SF!Q24)*1000</f>
        <v>7.4314462549899449</v>
      </c>
      <c r="R24" s="495">
        <f>('Total MT CO2eq'!R24/SF!R24)*1000</f>
        <v>6.7440291593204682</v>
      </c>
      <c r="S24" s="495">
        <f>('Total MT CO2eq'!S24/SF!S24)*1000</f>
        <v>6.1012551466707192</v>
      </c>
      <c r="T24" s="495">
        <f>('Total MT CO2eq'!T24/SF!T24)*1000</f>
        <v>9.1913307229965469</v>
      </c>
      <c r="U24" s="495">
        <f>('Total MT CO2eq'!U24/SF!U24)*1000</f>
        <v>7.1132221039767387</v>
      </c>
    </row>
    <row r="25" spans="2:21" ht="16">
      <c r="B25" s="188" t="s">
        <v>44</v>
      </c>
      <c r="C25" s="78">
        <v>22718.333640000001</v>
      </c>
      <c r="D25" s="78">
        <v>17898.64788</v>
      </c>
      <c r="E25" s="78">
        <v>24041.182843999999</v>
      </c>
      <c r="F25" s="78">
        <v>32948.501787000001</v>
      </c>
      <c r="G25" s="78">
        <v>36239.388079279997</v>
      </c>
      <c r="H25" s="506">
        <f>('Total MT CO2eq'!H25/SF!H25)*1000</f>
        <v>0.61641006158369716</v>
      </c>
      <c r="I25" s="506">
        <f>('Total MT CO2eq'!I25/SF!I25)*1000</f>
        <v>0.73155631409581989</v>
      </c>
      <c r="J25" s="506">
        <f>('Total MT CO2eq'!J25/SF!J25)*1000</f>
        <v>-0.9895468650117244</v>
      </c>
      <c r="K25" s="506">
        <f>('Total MT CO2eq'!K25/SF!K25)*1000</f>
        <v>-1.3864756623398644</v>
      </c>
      <c r="L25" s="506">
        <f>('Total MT CO2eq'!L25/SF!L25)*1000</f>
        <v>-1.2109134611394858</v>
      </c>
      <c r="M25" s="506">
        <f>('Total MT CO2eq'!M25/SF!M25)*1000</f>
        <v>-1.7963111277203438</v>
      </c>
      <c r="N25" s="506">
        <f>('Total MT CO2eq'!N25/SF!N25)*1000</f>
        <v>-2.5134995702959468</v>
      </c>
      <c r="O25" s="506">
        <f>('Total MT CO2eq'!O25/SF!O25)*1000</f>
        <v>-1.707401335935643</v>
      </c>
      <c r="P25" s="506">
        <f>('Total MT CO2eq'!P25/SF!P25)*1000</f>
        <v>0.32173169626686465</v>
      </c>
      <c r="Q25" s="506">
        <f>('Total MT CO2eq'!Q25/SF!Q25)*1000</f>
        <v>8.5778977120597844E-2</v>
      </c>
      <c r="R25" s="506">
        <f>('Total MT CO2eq'!R25/SF!R25)*1000</f>
        <v>-0.89875276980517138</v>
      </c>
      <c r="S25" s="506">
        <f>('Total MT CO2eq'!S25/SF!S25)*1000</f>
        <v>-2.0386683121199343</v>
      </c>
      <c r="T25" s="506">
        <f>('Total MT CO2eq'!T25/SF!T25)*1000</f>
        <v>0.21547132179271611</v>
      </c>
      <c r="U25" s="506">
        <f>('Total MT CO2eq'!U25/SF!U25)*1000</f>
        <v>-1.0529327334984846</v>
      </c>
    </row>
    <row r="26" spans="2:21" ht="17" thickBot="1">
      <c r="B26" s="188" t="s">
        <v>46</v>
      </c>
      <c r="C26" s="77" t="s">
        <v>102</v>
      </c>
      <c r="D26" s="70"/>
      <c r="E26" s="70"/>
      <c r="F26" s="70"/>
      <c r="G26" s="70"/>
      <c r="H26" s="719" t="s">
        <v>97</v>
      </c>
      <c r="I26" s="720"/>
      <c r="J26" s="721"/>
      <c r="K26" s="499"/>
      <c r="L26" s="499"/>
      <c r="M26" s="499"/>
      <c r="N26" s="499"/>
      <c r="O26" s="499"/>
      <c r="P26" s="499"/>
      <c r="Q26" s="499"/>
      <c r="R26" s="499"/>
      <c r="S26" s="499"/>
      <c r="T26" s="500"/>
      <c r="U26" s="500"/>
    </row>
    <row r="27" spans="2:21" ht="17" thickBot="1">
      <c r="B27" s="188" t="s">
        <v>49</v>
      </c>
      <c r="C27" s="78">
        <v>121657.29509</v>
      </c>
      <c r="D27" s="78">
        <v>85301.747499999998</v>
      </c>
      <c r="E27" s="78">
        <v>98797.827409999998</v>
      </c>
      <c r="F27" s="78">
        <v>109995.04498000001</v>
      </c>
      <c r="G27" s="78">
        <v>127642.892324</v>
      </c>
      <c r="H27" s="495">
        <f>('Total MT CO2eq'!H27/SF!H27)*1000</f>
        <v>10.370047127305005</v>
      </c>
      <c r="I27" s="495">
        <f>('Total MT CO2eq'!I27/SF!I27)*1000</f>
        <v>8.8636512571400132</v>
      </c>
      <c r="J27" s="495">
        <f>('Total MT CO2eq'!J27/SF!J27)*1000</f>
        <v>7.857451674847983</v>
      </c>
      <c r="K27" s="495">
        <f>('Total MT CO2eq'!K27/SF!K27)*1000</f>
        <v>8.4129806007792745</v>
      </c>
      <c r="L27" s="495">
        <f>('Total MT CO2eq'!L27/SF!L27)*1000</f>
        <v>7.3862585647360808</v>
      </c>
      <c r="M27" s="495">
        <f>('Total MT CO2eq'!M27/SF!M27)*1000</f>
        <v>6.3887815300808013</v>
      </c>
      <c r="N27" s="495">
        <f>('Total MT CO2eq'!N27/SF!N27)*1000</f>
        <v>7.0413344640812019</v>
      </c>
      <c r="O27" s="495">
        <f>('Total MT CO2eq'!O27/SF!O27)*1000</f>
        <v>6.85654462864664</v>
      </c>
      <c r="P27" s="495">
        <f>('Total MT CO2eq'!P27/SF!P27)*1000</f>
        <v>6.9062292290584981</v>
      </c>
      <c r="Q27" s="495">
        <f>('Total MT CO2eq'!Q27/SF!Q27)*1000</f>
        <v>7.756031383041214</v>
      </c>
      <c r="R27" s="495">
        <f>('Total MT CO2eq'!R27/SF!R27)*1000</f>
        <v>8.9667762472523371</v>
      </c>
      <c r="S27" s="495">
        <f>('Total MT CO2eq'!S27/SF!S27)*1000</f>
        <v>6.6600448365282636</v>
      </c>
      <c r="T27" s="495">
        <f>('Total MT CO2eq'!T27/SF!T27)*1000</f>
        <v>9.0563680726192519</v>
      </c>
      <c r="U27" s="495">
        <f>('Total MT CO2eq'!U27/SF!U27)*1000</f>
        <v>7.9849408843931533</v>
      </c>
    </row>
    <row r="28" spans="2:21" ht="17" thickBot="1">
      <c r="B28" s="188" t="s">
        <v>51</v>
      </c>
      <c r="C28" s="78">
        <v>125164.690044</v>
      </c>
      <c r="D28" s="78">
        <v>97503.075899999996</v>
      </c>
      <c r="E28" s="78">
        <v>134490.85352500001</v>
      </c>
      <c r="F28" s="78">
        <v>123193.655011</v>
      </c>
      <c r="G28" s="78">
        <v>129957.0303688</v>
      </c>
      <c r="H28" s="495">
        <f>('Total MT CO2eq'!H28/SF!H28)*1000</f>
        <v>8.4129113904847905</v>
      </c>
      <c r="I28" s="495">
        <f>('Total MT CO2eq'!I28/SF!I28)*1000</f>
        <v>8.6631400976589337</v>
      </c>
      <c r="J28" s="495">
        <f>('Total MT CO2eq'!J28/SF!J28)*1000</f>
        <v>6.8797206665028856</v>
      </c>
      <c r="K28" s="495">
        <f>('Total MT CO2eq'!K28/SF!K28)*1000</f>
        <v>6.8263616631759545</v>
      </c>
      <c r="L28" s="495">
        <f>('Total MT CO2eq'!L28/SF!L28)*1000</f>
        <v>6.7421995055280313</v>
      </c>
      <c r="M28" s="495">
        <f>('Total MT CO2eq'!M28/SF!M28)*1000</f>
        <v>6.2896599903743722</v>
      </c>
      <c r="N28" s="495">
        <f>('Total MT CO2eq'!N28/SF!N28)*1000</f>
        <v>6.2157495537603777</v>
      </c>
      <c r="O28" s="495">
        <f>('Total MT CO2eq'!O28/SF!O28)*1000</f>
        <v>6.8583760637168583</v>
      </c>
      <c r="P28" s="495">
        <f>('Total MT CO2eq'!P28/SF!P28)*1000</f>
        <v>7.4509134677445656</v>
      </c>
      <c r="Q28" s="495">
        <f>('Total MT CO2eq'!Q28/SF!Q28)*1000</f>
        <v>8.0457482915847915</v>
      </c>
      <c r="R28" s="495">
        <f>('Total MT CO2eq'!R28/SF!R28)*1000</f>
        <v>6.1949931407382257</v>
      </c>
      <c r="S28" s="495">
        <f>('Total MT CO2eq'!S28/SF!S28)*1000</f>
        <v>4.7672366614866668</v>
      </c>
      <c r="T28" s="495">
        <f>('Total MT CO2eq'!T28/SF!T28)*1000</f>
        <v>6.7159332022602998</v>
      </c>
      <c r="U28" s="495">
        <f>('Total MT CO2eq'!U28/SF!U28)*1000</f>
        <v>5.5484158446793508</v>
      </c>
    </row>
    <row r="29" spans="2:21" ht="17" thickBot="1">
      <c r="B29" s="188" t="s">
        <v>53</v>
      </c>
      <c r="C29" s="78">
        <v>98155.086769999994</v>
      </c>
      <c r="D29" s="78">
        <v>77789.769950999995</v>
      </c>
      <c r="E29" s="78">
        <v>87303.823920039998</v>
      </c>
      <c r="F29" s="78">
        <v>109670.25810200001</v>
      </c>
      <c r="G29" s="78">
        <v>109126.28381199999</v>
      </c>
      <c r="H29" s="495">
        <f>('Total MT CO2eq'!H29/SF!H29)*1000</f>
        <v>8.4243819085078986</v>
      </c>
      <c r="I29" s="495">
        <f>('Total MT CO2eq'!I29/SF!I29)*1000</f>
        <v>8.5268780851095283</v>
      </c>
      <c r="J29" s="495">
        <f>('Total MT CO2eq'!J29/SF!J29)*1000</f>
        <v>7.2886924598671596</v>
      </c>
      <c r="K29" s="495">
        <f>('Total MT CO2eq'!K29/SF!K29)*1000</f>
        <v>7.2319453102367239</v>
      </c>
      <c r="L29" s="495">
        <f>('Total MT CO2eq'!L29/SF!L29)*1000</f>
        <v>6.74924494390795</v>
      </c>
      <c r="M29" s="495">
        <f>('Total MT CO2eq'!M29/SF!M29)*1000</f>
        <v>6.3418413585919318</v>
      </c>
      <c r="N29" s="495">
        <f>('Total MT CO2eq'!N29/SF!N29)*1000</f>
        <v>6.8984701368098493</v>
      </c>
      <c r="O29" s="495">
        <f>('Total MT CO2eq'!O29/SF!O29)*1000</f>
        <v>7.869572308537184</v>
      </c>
      <c r="P29" s="495">
        <f>('Total MT CO2eq'!P29/SF!P29)*1000</f>
        <v>7.4285461632570167</v>
      </c>
      <c r="Q29" s="495">
        <f>('Total MT CO2eq'!Q29/SF!Q29)*1000</f>
        <v>7.6997981769956159</v>
      </c>
      <c r="R29" s="495">
        <f>('Total MT CO2eq'!R29/SF!R29)*1000</f>
        <v>6.6257448487477886</v>
      </c>
      <c r="S29" s="495">
        <f>('Total MT CO2eq'!S29/SF!S29)*1000</f>
        <v>4.7917720467143416</v>
      </c>
      <c r="T29" s="495">
        <f>('Total MT CO2eq'!T29/SF!T29)*1000</f>
        <v>8.7204165700267584</v>
      </c>
      <c r="U29" s="495">
        <f>('Total MT CO2eq'!U29/SF!U29)*1000</f>
        <v>6.8418331033152899</v>
      </c>
    </row>
    <row r="30" spans="2:21" ht="17" thickBot="1">
      <c r="B30" s="188" t="s">
        <v>55</v>
      </c>
      <c r="C30" s="78">
        <v>142026.84080000001</v>
      </c>
      <c r="D30" s="78">
        <v>98849.460619999998</v>
      </c>
      <c r="E30" s="78">
        <v>107521.101337</v>
      </c>
      <c r="F30" s="78">
        <v>116594.53432999999</v>
      </c>
      <c r="G30" s="78">
        <v>122159.89023200001</v>
      </c>
      <c r="H30" s="495">
        <f>('Total MT CO2eq'!H30/SF!H30)*1000</f>
        <v>8.0286978546365599</v>
      </c>
      <c r="I30" s="495">
        <f>('Total MT CO2eq'!I30/SF!I30)*1000</f>
        <v>7.4792969544270917</v>
      </c>
      <c r="J30" s="495">
        <f>('Total MT CO2eq'!J30/SF!J30)*1000</f>
        <v>5.8487301727523722</v>
      </c>
      <c r="K30" s="495">
        <f>('Total MT CO2eq'!K30/SF!K30)*1000</f>
        <v>6.7543401518880932</v>
      </c>
      <c r="L30" s="495">
        <f>('Total MT CO2eq'!L30/SF!L30)*1000</f>
        <v>7.0244979233879707</v>
      </c>
      <c r="M30" s="495">
        <f>('Total MT CO2eq'!M30/SF!M30)*1000</f>
        <v>10.4042792000924</v>
      </c>
      <c r="N30" s="495">
        <f>('Total MT CO2eq'!N30/SF!N30)*1000</f>
        <v>7.2325709221726848</v>
      </c>
      <c r="O30" s="495">
        <f>('Total MT CO2eq'!O30/SF!O30)*1000</f>
        <v>7.1569462120101601</v>
      </c>
      <c r="P30" s="495">
        <f>('Total MT CO2eq'!P30/SF!P30)*1000</f>
        <v>7.2093929663547272</v>
      </c>
      <c r="Q30" s="495">
        <f>('Total MT CO2eq'!Q30/SF!Q30)*1000</f>
        <v>5.2292165477297274</v>
      </c>
      <c r="R30" s="495">
        <f>('Total MT CO2eq'!R30/SF!R30)*1000</f>
        <v>5.6661808600036583</v>
      </c>
      <c r="S30" s="495">
        <f>('Total MT CO2eq'!S30/SF!S30)*1000</f>
        <v>5.3053015123861984</v>
      </c>
      <c r="T30" s="495">
        <f>('Total MT CO2eq'!T30/SF!T30)*1000</f>
        <v>7.830173818624969</v>
      </c>
      <c r="U30" s="495">
        <f>('Total MT CO2eq'!U30/SF!U30)*1000</f>
        <v>7.0894732002522831</v>
      </c>
    </row>
    <row r="31" spans="2:21" ht="17" thickBot="1">
      <c r="B31" s="188" t="s">
        <v>57</v>
      </c>
      <c r="C31" s="78">
        <v>118871.85408</v>
      </c>
      <c r="D31" s="78">
        <v>92457.625209999998</v>
      </c>
      <c r="E31" s="78">
        <v>102516.34507</v>
      </c>
      <c r="F31" s="78">
        <v>102295.216596</v>
      </c>
      <c r="G31" s="78">
        <v>111983.064638</v>
      </c>
      <c r="H31" s="495">
        <f>('Total MT CO2eq'!H31/SF!H31)*1000</f>
        <v>6.2419852371283833</v>
      </c>
      <c r="I31" s="495">
        <f>('Total MT CO2eq'!I31/SF!I31)*1000</f>
        <v>6.3335920462328872</v>
      </c>
      <c r="J31" s="495">
        <f>('Total MT CO2eq'!J31/SF!J31)*1000</f>
        <v>5.246566121607926</v>
      </c>
      <c r="K31" s="495">
        <f>('Total MT CO2eq'!K31/SF!K31)*1000</f>
        <v>5.1473168524957433</v>
      </c>
      <c r="L31" s="495">
        <f>('Total MT CO2eq'!L31/SF!L31)*1000</f>
        <v>5.4043324294964616</v>
      </c>
      <c r="M31" s="495">
        <f>('Total MT CO2eq'!M31/SF!M31)*1000</f>
        <v>5.3408066771357952</v>
      </c>
      <c r="N31" s="495">
        <f>('Total MT CO2eq'!N31/SF!N31)*1000</f>
        <v>4.7134391578032977</v>
      </c>
      <c r="O31" s="495">
        <f>('Total MT CO2eq'!O31/SF!O31)*1000</f>
        <v>5.4608535880004681</v>
      </c>
      <c r="P31" s="495">
        <f>('Total MT CO2eq'!P31/SF!P31)*1000</f>
        <v>6.1556225844138721</v>
      </c>
      <c r="Q31" s="495">
        <f>('Total MT CO2eq'!Q31/SF!Q31)*1000</f>
        <v>5.6613214685972997</v>
      </c>
      <c r="R31" s="495">
        <f>('Total MT CO2eq'!R31/SF!R31)*1000</f>
        <v>5.1197050969097848</v>
      </c>
      <c r="S31" s="495">
        <f>('Total MT CO2eq'!S31/SF!S31)*1000</f>
        <v>4.329218852572903</v>
      </c>
      <c r="T31" s="495">
        <f>('Total MT CO2eq'!T31/SF!T31)*1000</f>
        <v>5.776792101125201</v>
      </c>
      <c r="U31" s="495">
        <f>('Total MT CO2eq'!U31/SF!U31)*1000</f>
        <v>7.066455639230413</v>
      </c>
    </row>
    <row r="32" spans="2:21" ht="17" thickBot="1">
      <c r="B32" s="188" t="s">
        <v>68</v>
      </c>
      <c r="C32" s="83">
        <v>40572.027065000002</v>
      </c>
      <c r="D32" s="83">
        <v>30494.902054999999</v>
      </c>
      <c r="E32" s="83">
        <v>34095.178420999997</v>
      </c>
      <c r="F32" s="83">
        <v>36995.109172999997</v>
      </c>
      <c r="G32" s="83">
        <v>35004.631496000002</v>
      </c>
      <c r="H32" s="495">
        <f>('Total MT CO2eq'!H32/SF!H32)*1000</f>
        <v>10.995599419174052</v>
      </c>
      <c r="I32" s="495">
        <f>('Total MT CO2eq'!I32/SF!I32)*1000</f>
        <v>10.711495053207011</v>
      </c>
      <c r="J32" s="495">
        <f>('Total MT CO2eq'!J32/SF!J32)*1000</f>
        <v>8.8424914674225015</v>
      </c>
      <c r="K32" s="495">
        <f>('Total MT CO2eq'!K32/SF!K32)*1000</f>
        <v>9.4125774098079553</v>
      </c>
      <c r="L32" s="495">
        <f>('Total MT CO2eq'!L32/SF!L32)*1000</f>
        <v>9.1710515420217078</v>
      </c>
      <c r="M32" s="495">
        <f>('Total MT CO2eq'!M32/SF!M32)*1000</f>
        <v>9.3841989327772239</v>
      </c>
      <c r="N32" s="495">
        <f>('Total MT CO2eq'!N32/SF!N32)*1000</f>
        <v>8.4318035123304771</v>
      </c>
      <c r="O32" s="495">
        <f>('Total MT CO2eq'!O32/SF!O32)*1000</f>
        <v>8.6275408439088128</v>
      </c>
      <c r="P32" s="495">
        <f>('Total MT CO2eq'!P32/SF!P32)*1000</f>
        <v>9.6334175918796401</v>
      </c>
      <c r="Q32" s="495">
        <f>('Total MT CO2eq'!Q32/SF!Q32)*1000</f>
        <v>10.410370180496745</v>
      </c>
      <c r="R32" s="495">
        <f>('Total MT CO2eq'!R32/SF!R32)*1000</f>
        <v>8.7184550744026872</v>
      </c>
      <c r="S32" s="495">
        <f>('Total MT CO2eq'!S32/SF!S32)*1000</f>
        <v>7.1074945186425191</v>
      </c>
      <c r="T32" s="495">
        <f>('Total MT CO2eq'!T32/SF!T32)*1000</f>
        <v>9.4241649122754048</v>
      </c>
      <c r="U32" s="495">
        <f>('Total MT CO2eq'!U32/SF!U32)*1000</f>
        <v>8.2794666929719671</v>
      </c>
    </row>
    <row r="33" spans="2:21" ht="17" thickBot="1">
      <c r="B33" s="188" t="s">
        <v>59</v>
      </c>
      <c r="C33" s="82"/>
      <c r="D33" s="82"/>
      <c r="E33" s="82"/>
      <c r="F33" s="78">
        <v>203038.9471202</v>
      </c>
      <c r="G33" s="78">
        <v>257141.293301</v>
      </c>
      <c r="H33" s="495">
        <f>('Total MT CO2eq'!H33/SF!H33)*1000</f>
        <v>12.246589040558963</v>
      </c>
      <c r="I33" s="495">
        <f>('Total MT CO2eq'!I33/SF!I33)*1000</f>
        <v>11.592634933599877</v>
      </c>
      <c r="J33" s="495">
        <f>('Total MT CO2eq'!J33/SF!J33)*1000</f>
        <v>10.503558624569278</v>
      </c>
      <c r="K33" s="495">
        <f>('Total MT CO2eq'!K33/SF!K33)*1000</f>
        <v>11.073872855023831</v>
      </c>
      <c r="L33" s="495">
        <f>('Total MT CO2eq'!L33/SF!L33)*1000</f>
        <v>10.467779579609525</v>
      </c>
      <c r="M33" s="495">
        <f>('Total MT CO2eq'!M33/SF!M33)*1000</f>
        <v>10.625072146829687</v>
      </c>
      <c r="N33" s="495">
        <f>('Total MT CO2eq'!N33/SF!N33)*1000</f>
        <v>9.1089252445585007</v>
      </c>
      <c r="O33" s="495">
        <f>('Total MT CO2eq'!O33/SF!O33)*1000</f>
        <v>10.203399684885515</v>
      </c>
      <c r="P33" s="495">
        <f>('Total MT CO2eq'!P33/SF!P33)*1000</f>
        <v>9.5070650122225828</v>
      </c>
      <c r="Q33" s="495">
        <f>('Total MT CO2eq'!Q33/SF!Q33)*1000</f>
        <v>9.8585377576351831</v>
      </c>
      <c r="R33" s="495">
        <f>('Total MT CO2eq'!R33/SF!R33)*1000</f>
        <v>9.1415702468362774</v>
      </c>
      <c r="S33" s="495">
        <f>('Total MT CO2eq'!S33/SF!S33)*1000</f>
        <v>6.5844224399269073</v>
      </c>
      <c r="T33" s="495">
        <f>('Total MT CO2eq'!T33/SF!T33)*1000</f>
        <v>8.8445995761300047</v>
      </c>
      <c r="U33" s="495">
        <f>('Total MT CO2eq'!U33/SF!U33)*1000</f>
        <v>7.1067944853360325</v>
      </c>
    </row>
    <row r="34" spans="2:21" ht="17" thickBot="1">
      <c r="B34" s="188" t="s">
        <v>61</v>
      </c>
      <c r="C34" s="82"/>
      <c r="D34" s="83">
        <v>268296.54488549998</v>
      </c>
      <c r="E34" s="83">
        <v>283521.54470099998</v>
      </c>
      <c r="F34" s="83">
        <v>287216.431285</v>
      </c>
      <c r="G34" s="83">
        <v>328141.10189200001</v>
      </c>
      <c r="H34" s="495">
        <f>('Total MT CO2eq'!H34/SF!H34)*1000</f>
        <v>11.427341702371557</v>
      </c>
      <c r="I34" s="495">
        <f>('Total MT CO2eq'!I34/SF!I34)*1000</f>
        <v>11.301774987003309</v>
      </c>
      <c r="J34" s="495">
        <f>('Total MT CO2eq'!J34/SF!J34)*1000</f>
        <v>9.3549141227766768</v>
      </c>
      <c r="K34" s="495">
        <f>('Total MT CO2eq'!K34/SF!K34)*1000</f>
        <v>10.923897412773314</v>
      </c>
      <c r="L34" s="495">
        <f>('Total MT CO2eq'!L34/SF!L34)*1000</f>
        <v>10.501971765675073</v>
      </c>
      <c r="M34" s="495">
        <f>('Total MT CO2eq'!M34/SF!M34)*1000</f>
        <v>8.9281244788497549</v>
      </c>
      <c r="N34" s="495">
        <f>('Total MT CO2eq'!N34/SF!N34)*1000</f>
        <v>8.2522263360049752</v>
      </c>
      <c r="O34" s="495">
        <f>('Total MT CO2eq'!O34/SF!O34)*1000</f>
        <v>8.6912626208379393</v>
      </c>
      <c r="P34" s="495">
        <f>('Total MT CO2eq'!P34/SF!P34)*1000</f>
        <v>9.0658796352729922</v>
      </c>
      <c r="Q34" s="495">
        <f>('Total MT CO2eq'!Q34/SF!Q34)*1000</f>
        <v>9.382750499783338</v>
      </c>
      <c r="R34" s="495">
        <f>('Total MT CO2eq'!R34/SF!R34)*1000</f>
        <v>8.2538196374781432</v>
      </c>
      <c r="S34" s="495">
        <f>('Total MT CO2eq'!S34/SF!S34)*1000</f>
        <v>6.7078757931846269</v>
      </c>
      <c r="T34" s="495">
        <f>('Total MT CO2eq'!T34/SF!T34)*1000</f>
        <v>8.6609826115438988</v>
      </c>
      <c r="U34" s="495">
        <f>('Total MT CO2eq'!U34/SF!U34)*1000</f>
        <v>8.4737881902096781</v>
      </c>
    </row>
    <row r="35" spans="2:21" ht="17" thickBot="1">
      <c r="B35" s="188" t="s">
        <v>95</v>
      </c>
      <c r="C35" s="78">
        <v>55853.164644999997</v>
      </c>
      <c r="D35" s="78">
        <v>48245.640605000001</v>
      </c>
      <c r="E35" s="78">
        <v>47958.201624000001</v>
      </c>
      <c r="F35" s="78">
        <v>58915.712360899997</v>
      </c>
      <c r="G35" s="78">
        <v>65965.185425000003</v>
      </c>
      <c r="H35" s="495">
        <f>('Total MT CO2eq'!H35/SF!H35)*1000</f>
        <v>10.260167389234292</v>
      </c>
      <c r="I35" s="495">
        <f>('Total MT CO2eq'!I35/SF!I35)*1000</f>
        <v>10.34457752508202</v>
      </c>
      <c r="J35" s="495">
        <f>('Total MT CO2eq'!J35/SF!J35)*1000</f>
        <v>7.4923600725303761</v>
      </c>
      <c r="K35" s="495">
        <f>('Total MT CO2eq'!K35/SF!K35)*1000</f>
        <v>7.4708107249456184</v>
      </c>
      <c r="L35" s="495">
        <f>('Total MT CO2eq'!L35/SF!L35)*1000</f>
        <v>6.9122249006633387</v>
      </c>
      <c r="M35" s="495">
        <f>('Total MT CO2eq'!M35/SF!M35)*1000</f>
        <v>6.4644115856342923</v>
      </c>
      <c r="N35" s="495">
        <f>('Total MT CO2eq'!N35/SF!N35)*1000</f>
        <v>6.4991100131408031</v>
      </c>
      <c r="O35" s="495">
        <f>('Total MT CO2eq'!O35/SF!O35)*1000</f>
        <v>7.2245300051640395</v>
      </c>
      <c r="P35" s="495">
        <f>('Total MT CO2eq'!P35/SF!P35)*1000</f>
        <v>7.4147389502913228</v>
      </c>
      <c r="Q35" s="495">
        <f>('Total MT CO2eq'!Q35/SF!Q35)*1000</f>
        <v>7.927264707747848</v>
      </c>
      <c r="R35" s="495">
        <f>('Total MT CO2eq'!R35/SF!R35)*1000</f>
        <v>6.8293481509269078</v>
      </c>
      <c r="S35" s="495">
        <f>('Total MT CO2eq'!S35/SF!S35)*1000</f>
        <v>5.6635626768336511</v>
      </c>
      <c r="T35" s="495">
        <f>('Total MT CO2eq'!T35/SF!T35)*1000</f>
        <v>8.1986432578921278</v>
      </c>
      <c r="U35" s="495">
        <f>('Total MT CO2eq'!U35/SF!U35)*1000</f>
        <v>6.502779981554454</v>
      </c>
    </row>
    <row r="36" spans="2:21" ht="17" thickBot="1">
      <c r="B36" s="188" t="s">
        <v>65</v>
      </c>
      <c r="C36" s="70" t="s">
        <v>98</v>
      </c>
      <c r="D36" s="70"/>
      <c r="E36" s="70"/>
      <c r="F36" s="70"/>
      <c r="G36" s="71"/>
      <c r="H36" s="495">
        <f>('Total MT CO2eq'!H36/SF!H36)*1000</f>
        <v>11.664139519661759</v>
      </c>
      <c r="I36" s="495">
        <f>('Total MT CO2eq'!I36/SF!I36)*1000</f>
        <v>12.191382536257411</v>
      </c>
      <c r="J36" s="495">
        <f>('Total MT CO2eq'!J36/SF!J36)*1000</f>
        <v>10.65448584417342</v>
      </c>
      <c r="K36" s="495">
        <f>('Total MT CO2eq'!K36/SF!K36)*1000</f>
        <v>12.632169859200767</v>
      </c>
      <c r="L36" s="495">
        <f>('Total MT CO2eq'!L36/SF!L36)*1000</f>
        <v>12.724629864355931</v>
      </c>
      <c r="M36" s="495">
        <f>('Total MT CO2eq'!M36/SF!M36)*1000</f>
        <v>11.872258111501493</v>
      </c>
      <c r="N36" s="495">
        <f>('Total MT CO2eq'!N36/SF!N36)*1000</f>
        <v>10.529459676228438</v>
      </c>
      <c r="O36" s="495">
        <f>('Total MT CO2eq'!O36/SF!O36)*1000</f>
        <v>9.8793585941734765</v>
      </c>
      <c r="P36" s="495">
        <f>('Total MT CO2eq'!P36/SF!P36)*1000</f>
        <v>8.6951891650387783</v>
      </c>
      <c r="Q36" s="495">
        <f>('Total MT CO2eq'!Q36/SF!Q36)*1000</f>
        <v>9.5675162120442749</v>
      </c>
      <c r="R36" s="495">
        <f>('Total MT CO2eq'!R36/SF!R36)*1000</f>
        <v>8.0217846347097908</v>
      </c>
      <c r="S36" s="495">
        <f>('Total MT CO2eq'!S36/SF!S36)*1000</f>
        <v>8.1175605897642331</v>
      </c>
      <c r="T36" s="495">
        <f>('Total MT CO2eq'!T36/SF!T36)*1000</f>
        <v>16.642975952460596</v>
      </c>
      <c r="U36" s="495">
        <f>('Total MT CO2eq'!U36/SF!U36)*1000</f>
        <v>11.329906377658308</v>
      </c>
    </row>
    <row r="37" spans="2:21" ht="17" thickBot="1">
      <c r="B37" s="188" t="s">
        <v>5</v>
      </c>
      <c r="C37" s="78">
        <v>20859.633543</v>
      </c>
      <c r="D37" s="78">
        <v>17270.184745999999</v>
      </c>
      <c r="E37" s="78">
        <v>20010.838710399999</v>
      </c>
      <c r="F37" s="78">
        <v>18225.6523012</v>
      </c>
      <c r="G37" s="78">
        <v>19112.9597808</v>
      </c>
      <c r="H37" s="495">
        <f>('Total MT CO2eq'!H37/SF!H37)*1000</f>
        <v>19.398642821925272</v>
      </c>
      <c r="I37" s="495">
        <f>('Total MT CO2eq'!I37/SF!I37)*1000</f>
        <v>19.767017305704425</v>
      </c>
      <c r="J37" s="495">
        <f>('Total MT CO2eq'!J37/SF!J37)*1000</f>
        <v>17.604891924793638</v>
      </c>
      <c r="K37" s="495">
        <f>('Total MT CO2eq'!K37/SF!K37)*1000</f>
        <v>17.815041006271255</v>
      </c>
      <c r="L37" s="495">
        <f>('Total MT CO2eq'!L37/SF!L37)*1000</f>
        <v>15.087004937446705</v>
      </c>
      <c r="M37" s="495">
        <f>('Total MT CO2eq'!M37/SF!M37)*1000</f>
        <v>14.605165499322533</v>
      </c>
      <c r="N37" s="495">
        <f>('Total MT CO2eq'!N37/SF!N37)*1000</f>
        <v>13.368261856826361</v>
      </c>
      <c r="O37" s="495">
        <f>('Total MT CO2eq'!O37/SF!O37)*1000</f>
        <v>13.66511282125907</v>
      </c>
      <c r="P37" s="495">
        <f>('Total MT CO2eq'!P37/SF!P37)*1000</f>
        <v>13.835996734451053</v>
      </c>
      <c r="Q37" s="495">
        <f>('Total MT CO2eq'!Q37/SF!Q37)*1000</f>
        <v>14.796979963339627</v>
      </c>
      <c r="R37" s="495">
        <f>('Total MT CO2eq'!R37/SF!R37)*1000</f>
        <v>12.484277444673646</v>
      </c>
      <c r="S37" s="495">
        <f>('Total MT CO2eq'!S37/SF!S37)*1000</f>
        <v>9.5807952089452186</v>
      </c>
      <c r="T37" s="495">
        <f>('Total MT CO2eq'!T37/SF!T37)*1000</f>
        <v>11.458677384295811</v>
      </c>
      <c r="U37" s="495">
        <f>('Total MT CO2eq'!U37/SF!U37)*1000</f>
        <v>9.9869836681444504</v>
      </c>
    </row>
    <row r="38" spans="2:21" ht="17" thickBot="1">
      <c r="B38" s="317" t="s">
        <v>48</v>
      </c>
      <c r="C38" s="89">
        <v>18129.440607500001</v>
      </c>
      <c r="D38" s="89">
        <v>13016.550653599999</v>
      </c>
      <c r="E38" s="89">
        <v>14956.3264762</v>
      </c>
      <c r="F38" s="89">
        <v>16973.324908099999</v>
      </c>
      <c r="G38" s="89">
        <v>17819.888159999999</v>
      </c>
      <c r="H38" s="495">
        <f>('Total MT CO2eq'!H38/SF!H38)*1000</f>
        <v>15.444391127204149</v>
      </c>
      <c r="I38" s="495">
        <f>('Total MT CO2eq'!I38/SF!I38)*1000</f>
        <v>18.944249025500131</v>
      </c>
      <c r="J38" s="495">
        <f>('Total MT CO2eq'!J38/SF!J38)*1000</f>
        <v>12.992621953974595</v>
      </c>
      <c r="K38" s="495">
        <f>('Total MT CO2eq'!K38/SF!K38)*1000</f>
        <v>12.632573259526524</v>
      </c>
      <c r="L38" s="495">
        <f>('Total MT CO2eq'!L38/SF!L38)*1000</f>
        <v>17.256385538629445</v>
      </c>
      <c r="M38" s="495">
        <f>('Total MT CO2eq'!M38/SF!M38)*1000</f>
        <v>14.942508670566186</v>
      </c>
      <c r="N38" s="495">
        <f>('Total MT CO2eq'!N38/SF!N38)*1000</f>
        <v>10.433590969076429</v>
      </c>
      <c r="O38" s="495">
        <f>('Total MT CO2eq'!O38/SF!O38)*1000</f>
        <v>11.092885259934286</v>
      </c>
      <c r="P38" s="495">
        <f>('Total MT CO2eq'!P38/SF!P38)*1000</f>
        <v>11.243486583197726</v>
      </c>
      <c r="Q38" s="495">
        <f>('Total MT CO2eq'!Q38/SF!Q38)*1000</f>
        <v>10.009568079787453</v>
      </c>
      <c r="R38" s="495">
        <f>('Total MT CO2eq'!R38/SF!R38)*1000</f>
        <v>8.1192208105099564</v>
      </c>
      <c r="S38" s="495">
        <f>('Total MT CO2eq'!S38/SF!S38)*1000</f>
        <v>6.462683846863337</v>
      </c>
      <c r="T38" s="495">
        <f>('Total MT CO2eq'!T38/SF!T38)*1000</f>
        <v>8.8983555419944533</v>
      </c>
      <c r="U38" s="495">
        <f>('Total MT CO2eq'!U38/SF!U38)*1000</f>
        <v>7.670917313866962</v>
      </c>
    </row>
  </sheetData>
  <mergeCells count="2">
    <mergeCell ref="H26:J26"/>
    <mergeCell ref="B2:K2"/>
  </mergeCells>
  <conditionalFormatting sqref="H4:U25 H27:U38">
    <cfRule type="colorScale" priority="1">
      <colorScale>
        <cfvo type="min"/>
        <cfvo type="percentile" val="50"/>
        <cfvo type="max"/>
        <color rgb="FF63BE7B"/>
        <color rgb="FFFFEB84"/>
        <color rgb="FFF8696B"/>
      </colorScale>
    </cfRule>
  </conditionalFormatting>
  <pageMargins left="0.7" right="0.7" top="0.75" bottom="0.75" header="0.3" footer="0.3"/>
  <pageSetup scale="48"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4D9CC-1CD4-4F2B-BEC6-204AB319E21B}">
  <dimension ref="B1:B37"/>
  <sheetViews>
    <sheetView topLeftCell="B11" zoomScaleNormal="100" workbookViewId="0">
      <selection activeCell="B23" sqref="B23"/>
    </sheetView>
  </sheetViews>
  <sheetFormatPr baseColWidth="10" defaultColWidth="8.6640625" defaultRowHeight="15"/>
  <cols>
    <col min="1" max="1" width="6.5" customWidth="1"/>
    <col min="2" max="2" width="180.1640625" customWidth="1"/>
  </cols>
  <sheetData>
    <row r="1" spans="2:2" ht="16" thickBot="1">
      <c r="B1" s="397"/>
    </row>
    <row r="2" spans="2:2" ht="20" thickBot="1">
      <c r="B2" s="402" t="s">
        <v>251</v>
      </c>
    </row>
    <row r="3" spans="2:2" ht="48.5" customHeight="1" thickBot="1">
      <c r="B3" s="401" t="s">
        <v>250</v>
      </c>
    </row>
    <row r="4" spans="2:2" ht="9" customHeight="1" thickBot="1"/>
    <row r="5" spans="2:2" ht="17.75" customHeight="1" thickBot="1">
      <c r="B5" s="406" t="s">
        <v>237</v>
      </c>
    </row>
    <row r="6" spans="2:2" ht="30" customHeight="1">
      <c r="B6" s="407" t="s">
        <v>257</v>
      </c>
    </row>
    <row r="7" spans="2:2" ht="18" customHeight="1" thickBot="1">
      <c r="B7" s="408" t="s">
        <v>238</v>
      </c>
    </row>
    <row r="8" spans="2:2" ht="19.25" customHeight="1" thickBot="1">
      <c r="B8" s="399" t="s">
        <v>242</v>
      </c>
    </row>
    <row r="9" spans="2:2" ht="9" customHeight="1" thickBot="1"/>
    <row r="10" spans="2:2" ht="20" customHeight="1" thickBot="1">
      <c r="B10" s="406" t="s">
        <v>239</v>
      </c>
    </row>
    <row r="11" spans="2:2" ht="30" customHeight="1">
      <c r="B11" s="407" t="s">
        <v>258</v>
      </c>
    </row>
    <row r="12" spans="2:2" ht="18.5" customHeight="1">
      <c r="B12" s="409" t="s">
        <v>240</v>
      </c>
    </row>
    <row r="13" spans="2:2" ht="16.25" customHeight="1">
      <c r="B13" s="409" t="s">
        <v>259</v>
      </c>
    </row>
    <row r="14" spans="2:2" ht="29" thickBot="1">
      <c r="B14" s="408" t="s">
        <v>241</v>
      </c>
    </row>
    <row r="15" spans="2:2" ht="16.25" customHeight="1" thickBot="1">
      <c r="B15" s="399" t="s">
        <v>244</v>
      </c>
    </row>
    <row r="16" spans="2:2" ht="9" customHeight="1" thickBot="1">
      <c r="B16" s="398" t="s">
        <v>243</v>
      </c>
    </row>
    <row r="17" spans="2:2" ht="17" customHeight="1" thickBot="1">
      <c r="B17" s="406" t="s">
        <v>245</v>
      </c>
    </row>
    <row r="18" spans="2:2" ht="27" customHeight="1">
      <c r="B18" s="407" t="s">
        <v>260</v>
      </c>
    </row>
    <row r="19" spans="2:2" ht="27.5" customHeight="1">
      <c r="B19" s="409" t="s">
        <v>246</v>
      </c>
    </row>
    <row r="20" spans="2:2" ht="30" customHeight="1">
      <c r="B20" s="409" t="s">
        <v>261</v>
      </c>
    </row>
    <row r="21" spans="2:2" ht="33" customHeight="1">
      <c r="B21" s="409" t="s">
        <v>247</v>
      </c>
    </row>
    <row r="22" spans="2:2" ht="17.75" customHeight="1" thickBot="1">
      <c r="B22" s="408" t="s">
        <v>248</v>
      </c>
    </row>
    <row r="23" spans="2:2" ht="35" thickBot="1">
      <c r="B23" s="400" t="s">
        <v>249</v>
      </c>
    </row>
    <row r="24" spans="2:2" ht="8.75" customHeight="1" thickBot="1"/>
    <row r="25" spans="2:2">
      <c r="B25" s="403"/>
    </row>
    <row r="26" spans="2:2">
      <c r="B26" s="404"/>
    </row>
    <row r="27" spans="2:2">
      <c r="B27" s="404"/>
    </row>
    <row r="28" spans="2:2">
      <c r="B28" s="404"/>
    </row>
    <row r="29" spans="2:2">
      <c r="B29" s="404"/>
    </row>
    <row r="30" spans="2:2">
      <c r="B30" s="404"/>
    </row>
    <row r="31" spans="2:2">
      <c r="B31" s="404"/>
    </row>
    <row r="32" spans="2:2">
      <c r="B32" s="404"/>
    </row>
    <row r="33" spans="2:2">
      <c r="B33" s="404"/>
    </row>
    <row r="34" spans="2:2">
      <c r="B34" s="404"/>
    </row>
    <row r="35" spans="2:2">
      <c r="B35" s="404"/>
    </row>
    <row r="36" spans="2:2">
      <c r="B36" s="404"/>
    </row>
    <row r="37" spans="2:2" ht="16" thickBot="1">
      <c r="B37" s="405"/>
    </row>
  </sheetData>
  <hyperlinks>
    <hyperlink ref="B2" r:id="rId1" display="https://www.ipcc.ch/site/assets/uploads/2018/02/ipcc_wg3_ar5_annex-i.pdf" xr:uid="{2CEE5495-C31B-43DF-BA2D-976E1BF832A5}"/>
  </hyperlinks>
  <pageMargins left="0.7" right="0.7" top="0.75" bottom="0.75" header="0.3" footer="0.3"/>
  <pageSetup scale="65" orientation="landscape" horizontalDpi="0" verticalDpi="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707A1-9EC6-4C2D-8AD1-A898C4CE4287}">
  <sheetPr>
    <pageSetUpPr fitToPage="1"/>
  </sheetPr>
  <dimension ref="B1:X21"/>
  <sheetViews>
    <sheetView zoomScale="120" zoomScaleNormal="120" workbookViewId="0">
      <selection activeCell="L27" sqref="L27"/>
    </sheetView>
  </sheetViews>
  <sheetFormatPr baseColWidth="10" defaultColWidth="8.6640625" defaultRowHeight="16"/>
  <cols>
    <col min="2" max="2" width="38.5" customWidth="1"/>
    <col min="3" max="3" width="12.6640625" style="22" hidden="1" customWidth="1"/>
    <col min="4" max="5" width="12.6640625" style="23" hidden="1" customWidth="1"/>
    <col min="6" max="6" width="12.6640625" style="24" hidden="1" customWidth="1"/>
    <col min="7" max="8" width="12.6640625" style="25" customWidth="1"/>
    <col min="9" max="9" width="12.6640625" style="24" customWidth="1"/>
    <col min="10" max="20" width="12.6640625" customWidth="1"/>
  </cols>
  <sheetData>
    <row r="1" spans="2:24" ht="17" thickBot="1"/>
    <row r="2" spans="2:24" ht="52.25" customHeight="1" thickBot="1">
      <c r="B2" s="725" t="s">
        <v>166</v>
      </c>
      <c r="C2" s="726"/>
      <c r="D2" s="726"/>
      <c r="E2" s="726"/>
      <c r="F2" s="726"/>
      <c r="G2" s="727"/>
      <c r="H2" s="290"/>
      <c r="I2" s="194"/>
      <c r="J2" s="194"/>
      <c r="K2" s="194"/>
      <c r="L2" s="194"/>
      <c r="M2" s="194"/>
      <c r="N2" s="194"/>
      <c r="O2" s="194"/>
      <c r="P2" s="194"/>
      <c r="Q2" s="194"/>
      <c r="R2" s="252" t="s">
        <v>264</v>
      </c>
      <c r="S2" s="253" t="s">
        <v>161</v>
      </c>
      <c r="T2" s="253"/>
    </row>
    <row r="3" spans="2:24" ht="22" thickBot="1">
      <c r="B3" s="307" t="s">
        <v>90</v>
      </c>
      <c r="C3" s="308">
        <v>2006</v>
      </c>
      <c r="D3" s="308">
        <f t="shared" ref="D3:S3" si="0">C3+1</f>
        <v>2007</v>
      </c>
      <c r="E3" s="308">
        <f t="shared" si="0"/>
        <v>2008</v>
      </c>
      <c r="F3" s="308">
        <f t="shared" si="0"/>
        <v>2009</v>
      </c>
      <c r="G3" s="308">
        <f t="shared" si="0"/>
        <v>2010</v>
      </c>
      <c r="H3" s="308">
        <f t="shared" si="0"/>
        <v>2011</v>
      </c>
      <c r="I3" s="308">
        <f t="shared" si="0"/>
        <v>2012</v>
      </c>
      <c r="J3" s="308">
        <f t="shared" si="0"/>
        <v>2013</v>
      </c>
      <c r="K3" s="308">
        <f t="shared" si="0"/>
        <v>2014</v>
      </c>
      <c r="L3" s="308">
        <f t="shared" si="0"/>
        <v>2015</v>
      </c>
      <c r="M3" s="308">
        <f t="shared" si="0"/>
        <v>2016</v>
      </c>
      <c r="N3" s="308">
        <f t="shared" si="0"/>
        <v>2017</v>
      </c>
      <c r="O3" s="308">
        <f t="shared" si="0"/>
        <v>2018</v>
      </c>
      <c r="P3" s="308">
        <f t="shared" si="0"/>
        <v>2019</v>
      </c>
      <c r="Q3" s="308">
        <f t="shared" si="0"/>
        <v>2020</v>
      </c>
      <c r="R3" s="308">
        <f t="shared" si="0"/>
        <v>2021</v>
      </c>
      <c r="S3" s="309">
        <f t="shared" si="0"/>
        <v>2022</v>
      </c>
      <c r="T3" s="309">
        <f>S3+1</f>
        <v>2023</v>
      </c>
    </row>
    <row r="4" spans="2:24">
      <c r="B4" s="286" t="s">
        <v>126</v>
      </c>
      <c r="C4" s="287"/>
      <c r="D4" s="287"/>
      <c r="E4" s="287"/>
      <c r="F4" s="287"/>
      <c r="G4" s="287"/>
      <c r="H4" s="287"/>
      <c r="I4" s="287"/>
      <c r="J4" s="287"/>
      <c r="K4" s="287"/>
      <c r="L4" s="288" t="s">
        <v>142</v>
      </c>
      <c r="M4" s="287"/>
      <c r="N4" s="287"/>
      <c r="O4" s="287"/>
      <c r="P4" s="287"/>
      <c r="Q4" s="287"/>
      <c r="R4" s="287"/>
      <c r="S4" s="587"/>
      <c r="T4" s="53"/>
    </row>
    <row r="5" spans="2:24" ht="17">
      <c r="B5" s="121" t="s">
        <v>92</v>
      </c>
      <c r="C5" s="101">
        <v>1680351</v>
      </c>
      <c r="D5" s="102">
        <v>1329584</v>
      </c>
      <c r="E5" s="102">
        <v>1337044</v>
      </c>
      <c r="F5" s="102">
        <v>1355102</v>
      </c>
      <c r="G5" s="101">
        <v>1280101</v>
      </c>
      <c r="H5" s="103">
        <v>1731437</v>
      </c>
      <c r="I5" s="103">
        <v>1535792</v>
      </c>
      <c r="J5" s="103">
        <v>1390283</v>
      </c>
      <c r="K5" s="103">
        <v>1241699</v>
      </c>
      <c r="L5" s="104">
        <f>AVERAGE(K5,N5)</f>
        <v>1190100.5</v>
      </c>
      <c r="M5" s="105">
        <f>L5</f>
        <v>1190100.5</v>
      </c>
      <c r="N5" s="106">
        <v>1138502</v>
      </c>
      <c r="O5" s="106">
        <v>1598087</v>
      </c>
      <c r="P5" s="106">
        <v>1553789</v>
      </c>
      <c r="Q5" s="106">
        <v>1035240</v>
      </c>
      <c r="R5" s="106">
        <v>296115</v>
      </c>
      <c r="S5" s="577">
        <v>1043348</v>
      </c>
      <c r="T5" s="122">
        <v>1292545</v>
      </c>
    </row>
    <row r="6" spans="2:24" ht="17" customHeight="1">
      <c r="B6" s="121" t="s">
        <v>93</v>
      </c>
      <c r="C6" s="101">
        <v>248032.8</v>
      </c>
      <c r="D6" s="102">
        <v>223590.5</v>
      </c>
      <c r="E6" s="102">
        <v>230311.4</v>
      </c>
      <c r="F6" s="102">
        <v>240395.5</v>
      </c>
      <c r="G6" s="101">
        <v>227006.4</v>
      </c>
      <c r="H6" s="104">
        <f t="shared" ref="H6:M6" si="1">H5/5.64</f>
        <v>306992.37588652485</v>
      </c>
      <c r="I6" s="104">
        <f t="shared" si="1"/>
        <v>272303.54609929078</v>
      </c>
      <c r="J6" s="104">
        <f t="shared" si="1"/>
        <v>246504.0780141844</v>
      </c>
      <c r="K6" s="104">
        <f t="shared" si="1"/>
        <v>220159.39716312059</v>
      </c>
      <c r="L6" s="104">
        <f t="shared" si="1"/>
        <v>211010.72695035461</v>
      </c>
      <c r="M6" s="104">
        <f t="shared" si="1"/>
        <v>211010.72695035461</v>
      </c>
      <c r="N6" s="106">
        <v>205150</v>
      </c>
      <c r="O6" s="106">
        <v>209537</v>
      </c>
      <c r="P6" s="106">
        <v>163147</v>
      </c>
      <c r="Q6" s="106">
        <v>128507</v>
      </c>
      <c r="R6" s="106">
        <v>37686</v>
      </c>
      <c r="S6" s="578">
        <v>137993</v>
      </c>
      <c r="T6" s="123">
        <v>170971</v>
      </c>
    </row>
    <row r="7" spans="2:24" ht="17">
      <c r="B7" s="124" t="s">
        <v>94</v>
      </c>
      <c r="C7" s="107">
        <f t="shared" ref="C7:S7" si="2">C5/C6</f>
        <v>6.7747128605571527</v>
      </c>
      <c r="D7" s="107">
        <f t="shared" si="2"/>
        <v>5.9465138277341838</v>
      </c>
      <c r="E7" s="107">
        <f t="shared" si="2"/>
        <v>5.8053748099312497</v>
      </c>
      <c r="F7" s="107">
        <f t="shared" si="2"/>
        <v>5.6369690780401465</v>
      </c>
      <c r="G7" s="108">
        <f t="shared" si="2"/>
        <v>5.6390524672432143</v>
      </c>
      <c r="H7" s="107">
        <f t="shared" si="2"/>
        <v>5.64</v>
      </c>
      <c r="I7" s="107">
        <f t="shared" si="2"/>
        <v>5.64</v>
      </c>
      <c r="J7" s="107">
        <f t="shared" si="2"/>
        <v>5.64</v>
      </c>
      <c r="K7" s="107">
        <f t="shared" si="2"/>
        <v>5.64</v>
      </c>
      <c r="L7" s="107">
        <f t="shared" si="2"/>
        <v>5.64</v>
      </c>
      <c r="M7" s="107">
        <f t="shared" si="2"/>
        <v>5.64</v>
      </c>
      <c r="N7" s="107">
        <f t="shared" si="2"/>
        <v>5.5496076041920546</v>
      </c>
      <c r="O7" s="107">
        <f t="shared" si="2"/>
        <v>7.6267532703054828</v>
      </c>
      <c r="P7" s="107">
        <f t="shared" si="2"/>
        <v>9.5238588512200657</v>
      </c>
      <c r="Q7" s="107">
        <f t="shared" si="2"/>
        <v>8.05590356945536</v>
      </c>
      <c r="R7" s="107">
        <f t="shared" si="2"/>
        <v>7.857427161280051</v>
      </c>
      <c r="S7" s="579">
        <f t="shared" si="2"/>
        <v>7.5608762763328574</v>
      </c>
      <c r="T7" s="588">
        <f>T5/T6</f>
        <v>7.5600247995274055</v>
      </c>
    </row>
    <row r="8" spans="2:24" ht="17">
      <c r="B8" s="121" t="s">
        <v>104</v>
      </c>
      <c r="C8" s="107" t="e">
        <f>C5/#REF!</f>
        <v>#REF!</v>
      </c>
      <c r="D8" s="107" t="e">
        <f>D5/#REF!</f>
        <v>#REF!</v>
      </c>
      <c r="E8" s="107" t="e">
        <f>E5/#REF!</f>
        <v>#REF!</v>
      </c>
      <c r="F8" s="107" t="e">
        <f>F5/#REF!</f>
        <v>#REF!</v>
      </c>
      <c r="G8" s="108">
        <f>G5/'GHGI-Scope 1'!C6</f>
        <v>75.812910867633988</v>
      </c>
      <c r="H8" s="108">
        <f>H5/'GHGI-Scope 1'!D6</f>
        <v>100.97020060648472</v>
      </c>
      <c r="I8" s="108">
        <f>I5/'GHGI-Scope 1'!E6</f>
        <v>89.717957705339415</v>
      </c>
      <c r="J8" s="108">
        <f>J5/'GHGI-Scope 1'!F6</f>
        <v>80.409658762290334</v>
      </c>
      <c r="K8" s="108">
        <f>K5/'GHGI-Scope 1'!G6</f>
        <v>73.460273324261962</v>
      </c>
      <c r="L8" s="108">
        <f>L5/'GHGI-Scope 1'!H6</f>
        <v>68.728372603372605</v>
      </c>
      <c r="M8" s="108">
        <f>M5/'GHGI-Scope 1'!I6</f>
        <v>67.784957566782481</v>
      </c>
      <c r="N8" s="108">
        <f>N5/'GHGI-Scope 1'!J6</f>
        <v>63.628346280668417</v>
      </c>
      <c r="O8" s="108">
        <f>O5/'GHGI-Scope 1'!K6</f>
        <v>88.253092555776448</v>
      </c>
      <c r="P8" s="108">
        <f>P5/'GHGI-Scope 1'!L6</f>
        <v>85.42934902133274</v>
      </c>
      <c r="Q8" s="108">
        <f>Q5/'GHGI-Scope 1'!M6</f>
        <v>57.148219707424786</v>
      </c>
      <c r="R8" s="108">
        <f>R5/'GHGI-Scope 1'!N6</f>
        <v>16.653450312130925</v>
      </c>
      <c r="S8" s="580">
        <f>S5/'GHGI-Scope 1'!O6</f>
        <v>59.555225754894686</v>
      </c>
      <c r="T8" s="289">
        <f>T5/'GHGI-Scope 1'!P6</f>
        <v>74.305547571141133</v>
      </c>
    </row>
    <row r="9" spans="2:24" ht="17">
      <c r="B9" s="124" t="s">
        <v>139</v>
      </c>
      <c r="C9" s="107" t="e">
        <f>C6/#REF!</f>
        <v>#REF!</v>
      </c>
      <c r="D9" s="107" t="e">
        <f>D6/#REF!</f>
        <v>#REF!</v>
      </c>
      <c r="E9" s="107" t="e">
        <f>E6/#REF!</f>
        <v>#REF!</v>
      </c>
      <c r="F9" s="107" t="e">
        <f>F6/#REF!</f>
        <v>#REF!</v>
      </c>
      <c r="G9" s="108">
        <f>G6/'GHGI-Scope 1'!C6</f>
        <v>13.444264139769025</v>
      </c>
      <c r="H9" s="108">
        <f>H6/'GHGI-Scope 1'!D6</f>
        <v>17.902517838029208</v>
      </c>
      <c r="I9" s="108">
        <f>I6/'GHGI-Scope 1'!E6</f>
        <v>15.907439309457342</v>
      </c>
      <c r="J9" s="108">
        <f>J6/'GHGI-Scope 1'!F6</f>
        <v>14.257031695441549</v>
      </c>
      <c r="K9" s="108">
        <f>K6/'GHGI-Scope 1'!G6</f>
        <v>13.024871156784037</v>
      </c>
      <c r="L9" s="108">
        <f>L6/'GHGI-Scope 1'!H6</f>
        <v>12.185881667264646</v>
      </c>
      <c r="M9" s="108">
        <f>M6/'GHGI-Scope 1'!I6</f>
        <v>12.018609497656469</v>
      </c>
      <c r="N9" s="108">
        <f>N6/'GHGI-Scope 1'!J6</f>
        <v>11.465377521935952</v>
      </c>
      <c r="O9" s="108">
        <f>O6/'GHGI-Scope 1'!K6</f>
        <v>11.571515352330461</v>
      </c>
      <c r="P9" s="108">
        <f>P6/'GHGI-Scope 1'!L6</f>
        <v>8.9700351880360678</v>
      </c>
      <c r="Q9" s="108">
        <f>Q6/'GHGI-Scope 1'!M6</f>
        <v>7.0939552856748547</v>
      </c>
      <c r="R9" s="108">
        <f>R6/'GHGI-Scope 1'!N6</f>
        <v>2.1194533490804792</v>
      </c>
      <c r="S9" s="580">
        <f>S6/'GHGI-Scope 1'!O6</f>
        <v>7.8767623722815232</v>
      </c>
      <c r="T9" s="289">
        <f>T6/'GHGI-Scope 1'!P6</f>
        <v>9.8287438919229668</v>
      </c>
    </row>
    <row r="10" spans="2:24" ht="17">
      <c r="B10" s="124" t="s">
        <v>235</v>
      </c>
      <c r="C10" s="107">
        <f t="shared" ref="C10:T10" si="3">C6*0.01021</f>
        <v>2532.4148879999998</v>
      </c>
      <c r="D10" s="107">
        <f t="shared" si="3"/>
        <v>2282.8590050000003</v>
      </c>
      <c r="E10" s="107">
        <f t="shared" si="3"/>
        <v>2351.479394</v>
      </c>
      <c r="F10" s="107">
        <f t="shared" si="3"/>
        <v>2454.4380550000001</v>
      </c>
      <c r="G10" s="273">
        <f t="shared" si="3"/>
        <v>2317.7353440000002</v>
      </c>
      <c r="H10" s="274">
        <f t="shared" si="3"/>
        <v>3134.3921578014188</v>
      </c>
      <c r="I10" s="274">
        <f t="shared" si="3"/>
        <v>2780.219205673759</v>
      </c>
      <c r="J10" s="274">
        <f t="shared" si="3"/>
        <v>2516.8066365248228</v>
      </c>
      <c r="K10" s="274">
        <f t="shared" si="3"/>
        <v>2247.8274450354616</v>
      </c>
      <c r="L10" s="274">
        <f t="shared" si="3"/>
        <v>2154.4195221631207</v>
      </c>
      <c r="M10" s="274">
        <f t="shared" si="3"/>
        <v>2154.4195221631207</v>
      </c>
      <c r="N10" s="274">
        <f t="shared" si="3"/>
        <v>2094.5815000000002</v>
      </c>
      <c r="O10" s="274">
        <f t="shared" si="3"/>
        <v>2139.3727699999999</v>
      </c>
      <c r="P10" s="274">
        <f t="shared" si="3"/>
        <v>1665.7308700000001</v>
      </c>
      <c r="Q10" s="274">
        <f t="shared" si="3"/>
        <v>1312.05647</v>
      </c>
      <c r="R10" s="274">
        <f t="shared" si="3"/>
        <v>384.77406000000002</v>
      </c>
      <c r="S10" s="581">
        <f t="shared" si="3"/>
        <v>1408.9085300000002</v>
      </c>
      <c r="T10" s="275">
        <f t="shared" si="3"/>
        <v>1745.61391</v>
      </c>
    </row>
    <row r="11" spans="2:24">
      <c r="B11" s="124"/>
      <c r="C11" s="107"/>
      <c r="D11" s="107"/>
      <c r="E11" s="107"/>
      <c r="F11" s="107"/>
      <c r="G11" s="108"/>
      <c r="H11" s="107"/>
      <c r="I11" s="107"/>
      <c r="J11" s="107"/>
      <c r="K11" s="107"/>
      <c r="L11" s="107"/>
      <c r="M11" s="107"/>
      <c r="N11" s="107"/>
      <c r="O11" s="107"/>
      <c r="P11" s="107"/>
      <c r="Q11" s="107"/>
      <c r="R11" s="107"/>
      <c r="S11" s="579"/>
      <c r="T11" s="125"/>
    </row>
    <row r="12" spans="2:24">
      <c r="B12" s="130" t="s">
        <v>119</v>
      </c>
      <c r="C12" s="109"/>
      <c r="D12" s="106"/>
      <c r="E12" s="106"/>
      <c r="F12" s="110"/>
      <c r="G12" s="111"/>
      <c r="H12" s="100"/>
      <c r="I12" s="112"/>
      <c r="J12" s="112"/>
      <c r="K12" s="113"/>
      <c r="L12" s="114"/>
      <c r="M12" s="112"/>
      <c r="N12" s="112"/>
      <c r="O12" s="110"/>
      <c r="P12" s="115"/>
      <c r="Q12" s="110"/>
      <c r="R12" s="110"/>
      <c r="S12" s="582"/>
      <c r="T12" s="127"/>
    </row>
    <row r="13" spans="2:24" s="63" customFormat="1">
      <c r="B13" s="128" t="s">
        <v>159</v>
      </c>
      <c r="C13" s="135">
        <f t="shared" ref="C13:M13" si="4">D13</f>
        <v>8694</v>
      </c>
      <c r="D13" s="135">
        <f t="shared" si="4"/>
        <v>8694</v>
      </c>
      <c r="E13" s="135">
        <f t="shared" si="4"/>
        <v>8694</v>
      </c>
      <c r="F13" s="135">
        <f t="shared" si="4"/>
        <v>8694</v>
      </c>
      <c r="G13" s="135">
        <f t="shared" si="4"/>
        <v>8694</v>
      </c>
      <c r="H13" s="135">
        <f t="shared" si="4"/>
        <v>8694</v>
      </c>
      <c r="I13" s="135">
        <f t="shared" si="4"/>
        <v>8694</v>
      </c>
      <c r="J13" s="135">
        <f t="shared" si="4"/>
        <v>8694</v>
      </c>
      <c r="K13" s="135">
        <f t="shared" si="4"/>
        <v>8694</v>
      </c>
      <c r="L13" s="135">
        <f t="shared" si="4"/>
        <v>8694</v>
      </c>
      <c r="M13" s="135">
        <f t="shared" si="4"/>
        <v>8694</v>
      </c>
      <c r="N13" s="135">
        <f>O13</f>
        <v>8694</v>
      </c>
      <c r="O13" s="135">
        <f>AVERAGE(P13,R13,S13)</f>
        <v>8694</v>
      </c>
      <c r="P13" s="118">
        <v>11033</v>
      </c>
      <c r="Q13" s="118">
        <v>0</v>
      </c>
      <c r="R13" s="118">
        <v>5999</v>
      </c>
      <c r="S13" s="583">
        <v>9050</v>
      </c>
      <c r="T13" s="620">
        <v>7525</v>
      </c>
      <c r="U13"/>
      <c r="V13"/>
      <c r="W13"/>
      <c r="X13"/>
    </row>
    <row r="14" spans="2:24">
      <c r="B14" s="284" t="s">
        <v>221</v>
      </c>
      <c r="C14" s="136">
        <f t="shared" ref="C14:K14" si="5">C13*0.008477</f>
        <v>73.699038000000002</v>
      </c>
      <c r="D14" s="136">
        <f t="shared" si="5"/>
        <v>73.699038000000002</v>
      </c>
      <c r="E14" s="136">
        <f t="shared" si="5"/>
        <v>73.699038000000002</v>
      </c>
      <c r="F14" s="136">
        <f t="shared" si="5"/>
        <v>73.699038000000002</v>
      </c>
      <c r="G14" s="136">
        <f t="shared" si="5"/>
        <v>73.699038000000002</v>
      </c>
      <c r="H14" s="136">
        <f t="shared" si="5"/>
        <v>73.699038000000002</v>
      </c>
      <c r="I14" s="136">
        <f t="shared" si="5"/>
        <v>73.699038000000002</v>
      </c>
      <c r="J14" s="136">
        <f t="shared" si="5"/>
        <v>73.699038000000002</v>
      </c>
      <c r="K14" s="136">
        <f t="shared" si="5"/>
        <v>73.699038000000002</v>
      </c>
      <c r="L14" s="136">
        <f>L13*0.008477</f>
        <v>73.699038000000002</v>
      </c>
      <c r="M14" s="136">
        <f t="shared" ref="M14:T14" si="6">M13*0.008477</f>
        <v>73.699038000000002</v>
      </c>
      <c r="N14" s="136">
        <f t="shared" si="6"/>
        <v>73.699038000000002</v>
      </c>
      <c r="O14" s="136">
        <f t="shared" si="6"/>
        <v>73.699038000000002</v>
      </c>
      <c r="P14" s="137">
        <f t="shared" si="6"/>
        <v>93.526741000000001</v>
      </c>
      <c r="Q14" s="137">
        <f t="shared" si="6"/>
        <v>0</v>
      </c>
      <c r="R14" s="137">
        <f t="shared" si="6"/>
        <v>50.853523000000003</v>
      </c>
      <c r="S14" s="584">
        <f t="shared" si="6"/>
        <v>76.716850000000008</v>
      </c>
      <c r="T14" s="621">
        <f t="shared" si="6"/>
        <v>63.789425000000001</v>
      </c>
    </row>
    <row r="15" spans="2:24">
      <c r="B15" s="128"/>
      <c r="C15" s="109"/>
      <c r="D15" s="106"/>
      <c r="E15" s="106"/>
      <c r="F15" s="110"/>
      <c r="G15" s="111"/>
      <c r="H15" s="111"/>
      <c r="I15" s="110"/>
      <c r="J15" s="113"/>
      <c r="K15" s="113"/>
      <c r="L15" s="113"/>
      <c r="M15" s="114"/>
      <c r="N15" s="112"/>
      <c r="O15" s="115"/>
      <c r="P15" s="110"/>
      <c r="Q15" s="115"/>
      <c r="R15" s="110"/>
      <c r="S15" s="582"/>
      <c r="T15" s="127"/>
    </row>
    <row r="16" spans="2:24">
      <c r="B16" s="129" t="s">
        <v>125</v>
      </c>
      <c r="C16" s="109"/>
      <c r="D16" s="106"/>
      <c r="E16" s="106"/>
      <c r="F16" s="110"/>
      <c r="G16" s="111"/>
      <c r="H16" s="111"/>
      <c r="I16" s="110"/>
      <c r="J16" s="113"/>
      <c r="K16" s="113"/>
      <c r="L16" s="113"/>
      <c r="M16" s="113"/>
      <c r="N16" s="113"/>
      <c r="O16" s="110"/>
      <c r="P16" s="110"/>
      <c r="Q16" s="110"/>
      <c r="R16" s="110"/>
      <c r="S16" s="582"/>
      <c r="T16" s="127"/>
    </row>
    <row r="17" spans="2:24">
      <c r="B17" s="128" t="s">
        <v>124</v>
      </c>
      <c r="C17" s="116"/>
      <c r="D17" s="117"/>
      <c r="E17" s="117"/>
      <c r="F17" s="118"/>
      <c r="G17" s="138">
        <f t="shared" ref="G17:N17" si="7">H17</f>
        <v>779.23333333333323</v>
      </c>
      <c r="H17" s="138">
        <f t="shared" si="7"/>
        <v>779.23333333333323</v>
      </c>
      <c r="I17" s="138">
        <f t="shared" si="7"/>
        <v>779.23333333333323</v>
      </c>
      <c r="J17" s="138">
        <f t="shared" si="7"/>
        <v>779.23333333333323</v>
      </c>
      <c r="K17" s="138">
        <f t="shared" si="7"/>
        <v>779.23333333333323</v>
      </c>
      <c r="L17" s="138">
        <f t="shared" si="7"/>
        <v>779.23333333333323</v>
      </c>
      <c r="M17" s="138">
        <f t="shared" si="7"/>
        <v>779.23333333333323</v>
      </c>
      <c r="N17" s="138">
        <f t="shared" si="7"/>
        <v>779.23333333333323</v>
      </c>
      <c r="O17" s="138">
        <f>AVERAGE(P17,R17,S17)</f>
        <v>779.23333333333323</v>
      </c>
      <c r="P17" s="283">
        <v>559.5</v>
      </c>
      <c r="Q17" s="118">
        <v>0</v>
      </c>
      <c r="R17" s="118">
        <v>1493.1</v>
      </c>
      <c r="S17" s="583">
        <v>285.10000000000002</v>
      </c>
      <c r="T17" s="620">
        <v>889</v>
      </c>
    </row>
    <row r="18" spans="2:24">
      <c r="B18" s="284" t="s">
        <v>157</v>
      </c>
      <c r="C18" s="109"/>
      <c r="D18" s="106"/>
      <c r="E18" s="106"/>
      <c r="F18" s="110"/>
      <c r="G18" s="140">
        <f t="shared" ref="G18:T18" si="8">G17*0.01021</f>
        <v>7.9559723333333325</v>
      </c>
      <c r="H18" s="140">
        <f t="shared" si="8"/>
        <v>7.9559723333333325</v>
      </c>
      <c r="I18" s="140">
        <f t="shared" si="8"/>
        <v>7.9559723333333325</v>
      </c>
      <c r="J18" s="140">
        <f t="shared" si="8"/>
        <v>7.9559723333333325</v>
      </c>
      <c r="K18" s="140">
        <f t="shared" si="8"/>
        <v>7.9559723333333325</v>
      </c>
      <c r="L18" s="140">
        <f t="shared" si="8"/>
        <v>7.9559723333333325</v>
      </c>
      <c r="M18" s="140">
        <f t="shared" si="8"/>
        <v>7.9559723333333325</v>
      </c>
      <c r="N18" s="140">
        <f t="shared" si="8"/>
        <v>7.9559723333333325</v>
      </c>
      <c r="O18" s="140">
        <f t="shared" si="8"/>
        <v>7.9559723333333325</v>
      </c>
      <c r="P18" s="141">
        <f t="shared" si="8"/>
        <v>5.7124950000000005</v>
      </c>
      <c r="Q18" s="141">
        <f t="shared" si="8"/>
        <v>0</v>
      </c>
      <c r="R18" s="141">
        <f t="shared" si="8"/>
        <v>15.244551</v>
      </c>
      <c r="S18" s="585">
        <f t="shared" si="8"/>
        <v>2.9108710000000002</v>
      </c>
      <c r="T18" s="622">
        <f t="shared" si="8"/>
        <v>9.076690000000001</v>
      </c>
    </row>
    <row r="19" spans="2:24" thickBot="1">
      <c r="B19" s="285" t="s">
        <v>142</v>
      </c>
      <c r="C19" s="79"/>
      <c r="D19" s="79"/>
      <c r="E19" s="79"/>
      <c r="F19" s="79"/>
      <c r="G19" s="79"/>
      <c r="H19" s="79"/>
      <c r="I19" s="79"/>
      <c r="J19" s="79"/>
      <c r="K19" s="79"/>
      <c r="L19" s="79"/>
      <c r="M19" s="79"/>
      <c r="N19" s="79"/>
      <c r="O19" s="79"/>
      <c r="P19" s="79"/>
      <c r="Q19" s="79"/>
      <c r="R19" s="79"/>
      <c r="S19" s="586"/>
      <c r="T19" s="84"/>
    </row>
    <row r="20" spans="2:24" s="63" customFormat="1">
      <c r="T20" s="99"/>
      <c r="U20"/>
      <c r="V20"/>
      <c r="W20"/>
      <c r="X20"/>
    </row>
    <row r="21" spans="2:24">
      <c r="B21" s="65"/>
      <c r="J21" s="65"/>
      <c r="K21" s="65"/>
      <c r="L21" s="65"/>
      <c r="M21" s="65"/>
      <c r="N21" s="65"/>
      <c r="O21" s="65"/>
      <c r="P21" s="65"/>
      <c r="Q21" s="65"/>
      <c r="R21" s="65"/>
      <c r="S21" s="65"/>
      <c r="T21" s="65"/>
    </row>
  </sheetData>
  <mergeCells count="1">
    <mergeCell ref="B2:G2"/>
  </mergeCells>
  <conditionalFormatting sqref="G10:T10">
    <cfRule type="colorScale" priority="243">
      <colorScale>
        <cfvo type="min"/>
        <cfvo type="percentile" val="50"/>
        <cfvo type="max"/>
        <color rgb="FF63BE7B"/>
        <color rgb="FFFFEB84"/>
        <color rgb="FFF8696B"/>
      </colorScale>
    </cfRule>
  </conditionalFormatting>
  <pageMargins left="0.7" right="0.7" top="0.75" bottom="0.75" header="0.3" footer="0.3"/>
  <pageSetup scale="53" orientation="landscape"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20869-7BA2-465D-8079-70B55687F136}">
  <sheetPr>
    <pageSetUpPr fitToPage="1"/>
  </sheetPr>
  <dimension ref="B1:N48"/>
  <sheetViews>
    <sheetView zoomScaleNormal="100" workbookViewId="0">
      <selection activeCell="N42" sqref="N42"/>
    </sheetView>
  </sheetViews>
  <sheetFormatPr baseColWidth="10" defaultColWidth="8.6640625" defaultRowHeight="20" customHeight="1"/>
  <cols>
    <col min="2" max="2" width="28.33203125" customWidth="1"/>
    <col min="3" max="7" width="0" hidden="1" customWidth="1"/>
    <col min="8" max="8" width="10.5" customWidth="1"/>
    <col min="9" max="9" width="15.33203125" style="1" customWidth="1"/>
    <col min="10" max="10" width="12.6640625" style="1" customWidth="1"/>
    <col min="11" max="11" width="11.6640625" style="1" customWidth="1"/>
    <col min="12" max="12" width="10.6640625" style="1" customWidth="1"/>
    <col min="13" max="13" width="11.33203125" style="1" customWidth="1"/>
    <col min="14" max="14" width="18.5" style="1" customWidth="1"/>
  </cols>
  <sheetData>
    <row r="1" spans="2:14" ht="20" customHeight="1" thickBot="1"/>
    <row r="2" spans="2:14" ht="25.25" customHeight="1" thickBot="1">
      <c r="B2" s="679" t="s">
        <v>207</v>
      </c>
      <c r="C2" s="680"/>
      <c r="D2" s="680"/>
      <c r="E2" s="680"/>
      <c r="F2" s="680"/>
      <c r="G2" s="680"/>
      <c r="H2" s="680"/>
      <c r="I2" s="681"/>
      <c r="J2" s="348"/>
      <c r="K2" s="348"/>
      <c r="L2" s="348"/>
      <c r="M2" s="348"/>
      <c r="N2" s="349"/>
    </row>
    <row r="3" spans="2:14" ht="31.25" customHeight="1" thickBot="1">
      <c r="B3" s="16" t="s">
        <v>0</v>
      </c>
      <c r="C3" s="17" t="s">
        <v>3</v>
      </c>
      <c r="D3" s="17" t="s">
        <v>71</v>
      </c>
      <c r="E3" s="17" t="s">
        <v>70</v>
      </c>
      <c r="F3" s="18" t="s">
        <v>72</v>
      </c>
      <c r="G3" s="17" t="s">
        <v>4</v>
      </c>
      <c r="H3" s="17" t="s">
        <v>78</v>
      </c>
      <c r="I3" s="17" t="s">
        <v>209</v>
      </c>
      <c r="J3" s="17" t="s">
        <v>210</v>
      </c>
      <c r="K3" s="17" t="s">
        <v>85</v>
      </c>
      <c r="L3" s="17" t="s">
        <v>86</v>
      </c>
      <c r="M3" s="17" t="s">
        <v>87</v>
      </c>
      <c r="N3" s="167" t="s">
        <v>206</v>
      </c>
    </row>
    <row r="4" spans="2:14" s="364" customFormat="1" ht="11" customHeight="1">
      <c r="B4" s="356" t="s">
        <v>265</v>
      </c>
      <c r="C4" s="357" t="s">
        <v>6</v>
      </c>
      <c r="D4" s="358">
        <v>52765</v>
      </c>
      <c r="E4" s="358"/>
      <c r="F4" s="359">
        <f t="shared" ref="F4:F25" si="0">E4+D4</f>
        <v>52765</v>
      </c>
      <c r="G4" s="360">
        <v>1962</v>
      </c>
      <c r="H4" s="360">
        <v>12</v>
      </c>
      <c r="I4" s="361">
        <v>0.2</v>
      </c>
      <c r="J4" s="362">
        <f t="shared" ref="J4:J25" si="1">(1-I4)*H4</f>
        <v>9.6000000000000014</v>
      </c>
      <c r="K4" s="361">
        <v>0.75</v>
      </c>
      <c r="L4" s="361">
        <v>0.25</v>
      </c>
      <c r="M4" s="361"/>
      <c r="N4" s="363">
        <f>-(K4*J4*0.8)-(L4*J4*2.5)-(M4*J4*80)</f>
        <v>-11.760000000000002</v>
      </c>
    </row>
    <row r="5" spans="2:14" s="364" customFormat="1" ht="11" customHeight="1">
      <c r="B5" s="365" t="s">
        <v>7</v>
      </c>
      <c r="C5" s="366" t="s">
        <v>8</v>
      </c>
      <c r="D5" s="367">
        <v>65388</v>
      </c>
      <c r="E5" s="367"/>
      <c r="F5" s="368">
        <f t="shared" si="0"/>
        <v>65388</v>
      </c>
      <c r="G5" s="369">
        <v>1961</v>
      </c>
      <c r="H5" s="369">
        <v>10.5</v>
      </c>
      <c r="I5" s="370">
        <v>0.45</v>
      </c>
      <c r="J5" s="371">
        <f t="shared" si="1"/>
        <v>5.7750000000000004</v>
      </c>
      <c r="K5" s="370">
        <v>0.95</v>
      </c>
      <c r="L5" s="370">
        <v>0.05</v>
      </c>
      <c r="M5" s="370"/>
      <c r="N5" s="372">
        <f t="shared" ref="N5:N25" si="2">-(K5*J5*0.8)-(L5*J5*2.5)-(M5*J5*80)</f>
        <v>-5.1108750000000001</v>
      </c>
    </row>
    <row r="6" spans="2:14" s="364" customFormat="1" ht="11" customHeight="1">
      <c r="B6" s="365" t="s">
        <v>9</v>
      </c>
      <c r="C6" s="366" t="s">
        <v>10</v>
      </c>
      <c r="D6" s="367">
        <v>36868</v>
      </c>
      <c r="E6" s="367"/>
      <c r="F6" s="368">
        <f t="shared" si="0"/>
        <v>36868</v>
      </c>
      <c r="G6" s="369">
        <v>1923</v>
      </c>
      <c r="H6" s="369">
        <v>3</v>
      </c>
      <c r="I6" s="370">
        <v>0.75</v>
      </c>
      <c r="J6" s="371">
        <f t="shared" si="1"/>
        <v>0.75</v>
      </c>
      <c r="K6" s="370">
        <v>0.75</v>
      </c>
      <c r="L6" s="370">
        <v>0.25</v>
      </c>
      <c r="M6" s="370"/>
      <c r="N6" s="372">
        <f t="shared" si="2"/>
        <v>-0.91874999999999996</v>
      </c>
    </row>
    <row r="7" spans="2:14" s="364" customFormat="1" ht="11" customHeight="1">
      <c r="B7" s="365" t="s">
        <v>73</v>
      </c>
      <c r="C7" s="373" t="s">
        <v>12</v>
      </c>
      <c r="D7" s="367">
        <v>53090</v>
      </c>
      <c r="E7" s="367"/>
      <c r="F7" s="368">
        <f t="shared" si="0"/>
        <v>53090</v>
      </c>
      <c r="G7" s="369">
        <v>1922</v>
      </c>
      <c r="H7" s="369">
        <v>7.8</v>
      </c>
      <c r="I7" s="370">
        <v>0.85</v>
      </c>
      <c r="J7" s="371">
        <f t="shared" si="1"/>
        <v>1.1700000000000002</v>
      </c>
      <c r="K7" s="370">
        <v>0.5</v>
      </c>
      <c r="L7" s="370">
        <v>0.5</v>
      </c>
      <c r="M7" s="370"/>
      <c r="N7" s="372">
        <f t="shared" si="2"/>
        <v>-1.9305000000000003</v>
      </c>
    </row>
    <row r="8" spans="2:14" s="364" customFormat="1" ht="11" customHeight="1">
      <c r="B8" s="365" t="s">
        <v>13</v>
      </c>
      <c r="C8" s="366" t="s">
        <v>14</v>
      </c>
      <c r="D8" s="367">
        <v>60192</v>
      </c>
      <c r="E8" s="367"/>
      <c r="F8" s="368">
        <f t="shared" si="0"/>
        <v>60192</v>
      </c>
      <c r="G8" s="369">
        <v>1973</v>
      </c>
      <c r="H8" s="369">
        <v>10.8</v>
      </c>
      <c r="I8" s="370">
        <v>0.25</v>
      </c>
      <c r="J8" s="371">
        <f t="shared" si="1"/>
        <v>8.1000000000000014</v>
      </c>
      <c r="K8" s="370">
        <v>0.75</v>
      </c>
      <c r="L8" s="370">
        <v>0.25</v>
      </c>
      <c r="M8" s="370"/>
      <c r="N8" s="372">
        <f t="shared" si="2"/>
        <v>-9.922500000000003</v>
      </c>
    </row>
    <row r="9" spans="2:14" s="364" customFormat="1" ht="11" customHeight="1">
      <c r="B9" s="365" t="s">
        <v>15</v>
      </c>
      <c r="C9" s="366" t="s">
        <v>16</v>
      </c>
      <c r="D9" s="367">
        <v>60992</v>
      </c>
      <c r="E9" s="367">
        <v>4834</v>
      </c>
      <c r="F9" s="368">
        <f t="shared" si="0"/>
        <v>65826</v>
      </c>
      <c r="G9" s="369">
        <v>1925</v>
      </c>
      <c r="H9" s="369">
        <v>4</v>
      </c>
      <c r="I9" s="370">
        <v>0.65</v>
      </c>
      <c r="J9" s="371">
        <f t="shared" si="1"/>
        <v>1.4</v>
      </c>
      <c r="K9" s="370">
        <v>0.95</v>
      </c>
      <c r="L9" s="370">
        <v>0.05</v>
      </c>
      <c r="M9" s="370"/>
      <c r="N9" s="372">
        <f t="shared" si="2"/>
        <v>-1.2389999999999999</v>
      </c>
    </row>
    <row r="10" spans="2:14" s="364" customFormat="1" ht="11" customHeight="1">
      <c r="B10" s="365" t="s">
        <v>17</v>
      </c>
      <c r="C10" s="366" t="s">
        <v>18</v>
      </c>
      <c r="D10" s="367">
        <v>52539</v>
      </c>
      <c r="E10" s="367">
        <v>8360</v>
      </c>
      <c r="F10" s="368">
        <f t="shared" si="0"/>
        <v>60899</v>
      </c>
      <c r="G10" s="369">
        <v>1953</v>
      </c>
      <c r="H10" s="369">
        <v>11</v>
      </c>
      <c r="I10" s="370">
        <v>0.45</v>
      </c>
      <c r="J10" s="371">
        <f t="shared" si="1"/>
        <v>6.0500000000000007</v>
      </c>
      <c r="K10" s="370">
        <v>0.97</v>
      </c>
      <c r="L10" s="370">
        <v>0.03</v>
      </c>
      <c r="M10" s="370"/>
      <c r="N10" s="372">
        <f t="shared" si="2"/>
        <v>-5.1485500000000011</v>
      </c>
    </row>
    <row r="11" spans="2:14" s="364" customFormat="1" ht="11" customHeight="1">
      <c r="B11" s="365" t="s">
        <v>19</v>
      </c>
      <c r="C11" s="366" t="s">
        <v>20</v>
      </c>
      <c r="D11" s="367">
        <v>43199</v>
      </c>
      <c r="E11" s="367"/>
      <c r="F11" s="368">
        <f t="shared" si="0"/>
        <v>43199</v>
      </c>
      <c r="G11" s="369">
        <v>1957</v>
      </c>
      <c r="H11" s="369">
        <v>10</v>
      </c>
      <c r="I11" s="370">
        <v>0.25</v>
      </c>
      <c r="J11" s="371">
        <f t="shared" si="1"/>
        <v>7.5</v>
      </c>
      <c r="K11" s="370">
        <v>0.75</v>
      </c>
      <c r="L11" s="370">
        <v>0.25</v>
      </c>
      <c r="M11" s="370"/>
      <c r="N11" s="372">
        <f t="shared" si="2"/>
        <v>-9.1875</v>
      </c>
    </row>
    <row r="12" spans="2:14" s="364" customFormat="1" ht="11" customHeight="1">
      <c r="B12" s="365" t="s">
        <v>21</v>
      </c>
      <c r="C12" s="366" t="s">
        <v>22</v>
      </c>
      <c r="D12" s="367">
        <v>32080</v>
      </c>
      <c r="E12" s="367"/>
      <c r="F12" s="368">
        <f t="shared" si="0"/>
        <v>32080</v>
      </c>
      <c r="G12" s="369">
        <v>1952</v>
      </c>
      <c r="H12" s="369">
        <v>40</v>
      </c>
      <c r="I12" s="370">
        <v>0.05</v>
      </c>
      <c r="J12" s="371">
        <f t="shared" si="1"/>
        <v>38</v>
      </c>
      <c r="K12" s="370">
        <v>0.35</v>
      </c>
      <c r="L12" s="370">
        <v>0.65</v>
      </c>
      <c r="M12" s="370"/>
      <c r="N12" s="372">
        <f t="shared" si="2"/>
        <v>-72.39</v>
      </c>
    </row>
    <row r="13" spans="2:14" s="364" customFormat="1" ht="11" customHeight="1">
      <c r="B13" s="365" t="s">
        <v>23</v>
      </c>
      <c r="C13" s="366" t="s">
        <v>24</v>
      </c>
      <c r="D13" s="367">
        <v>62117</v>
      </c>
      <c r="E13" s="367"/>
      <c r="F13" s="368">
        <f t="shared" si="0"/>
        <v>62117</v>
      </c>
      <c r="G13" s="369">
        <v>1950</v>
      </c>
      <c r="H13" s="369">
        <v>42.2</v>
      </c>
      <c r="I13" s="370">
        <v>0.15</v>
      </c>
      <c r="J13" s="371">
        <f t="shared" si="1"/>
        <v>35.870000000000005</v>
      </c>
      <c r="K13" s="370">
        <v>0.05</v>
      </c>
      <c r="L13" s="370">
        <v>0.95</v>
      </c>
      <c r="M13" s="370"/>
      <c r="N13" s="372">
        <f t="shared" si="2"/>
        <v>-86.626050000000006</v>
      </c>
    </row>
    <row r="14" spans="2:14" s="364" customFormat="1" ht="11" customHeight="1">
      <c r="B14" s="365" t="s">
        <v>25</v>
      </c>
      <c r="C14" s="366" t="s">
        <v>26</v>
      </c>
      <c r="D14" s="367">
        <v>58032</v>
      </c>
      <c r="E14" s="367"/>
      <c r="F14" s="368">
        <f t="shared" si="0"/>
        <v>58032</v>
      </c>
      <c r="G14" s="369">
        <v>1954</v>
      </c>
      <c r="H14" s="369">
        <v>10</v>
      </c>
      <c r="I14" s="370">
        <v>0.35</v>
      </c>
      <c r="J14" s="371">
        <f t="shared" si="1"/>
        <v>6.5</v>
      </c>
      <c r="K14" s="370">
        <v>0.5</v>
      </c>
      <c r="L14" s="370">
        <v>0.5</v>
      </c>
      <c r="M14" s="370"/>
      <c r="N14" s="372">
        <f t="shared" si="2"/>
        <v>-10.725</v>
      </c>
    </row>
    <row r="15" spans="2:14" s="364" customFormat="1" ht="11" customHeight="1">
      <c r="B15" s="365" t="s">
        <v>27</v>
      </c>
      <c r="C15" s="373" t="s">
        <v>28</v>
      </c>
      <c r="D15" s="367">
        <v>52200</v>
      </c>
      <c r="E15" s="367">
        <v>4834</v>
      </c>
      <c r="F15" s="368">
        <f t="shared" si="0"/>
        <v>57034</v>
      </c>
      <c r="G15" s="369">
        <v>1969</v>
      </c>
      <c r="H15" s="369">
        <v>9.9600000000000009</v>
      </c>
      <c r="I15" s="370">
        <v>0.5</v>
      </c>
      <c r="J15" s="371">
        <f t="shared" si="1"/>
        <v>4.9800000000000004</v>
      </c>
      <c r="K15" s="370">
        <v>0.6</v>
      </c>
      <c r="L15" s="370">
        <v>0.4</v>
      </c>
      <c r="M15" s="370"/>
      <c r="N15" s="372">
        <f t="shared" si="2"/>
        <v>-7.3704000000000001</v>
      </c>
    </row>
    <row r="16" spans="2:14" s="364" customFormat="1" ht="11" customHeight="1">
      <c r="B16" s="365" t="s">
        <v>29</v>
      </c>
      <c r="C16" s="366" t="s">
        <v>30</v>
      </c>
      <c r="D16" s="367">
        <v>42549</v>
      </c>
      <c r="E16" s="367"/>
      <c r="F16" s="368">
        <f t="shared" si="0"/>
        <v>42549</v>
      </c>
      <c r="G16" s="369">
        <v>1961</v>
      </c>
      <c r="H16" s="369">
        <v>18</v>
      </c>
      <c r="I16" s="370">
        <v>0.2</v>
      </c>
      <c r="J16" s="371">
        <f t="shared" si="1"/>
        <v>14.4</v>
      </c>
      <c r="K16" s="370">
        <v>0.5</v>
      </c>
      <c r="L16" s="370">
        <v>0.5</v>
      </c>
      <c r="M16" s="370"/>
      <c r="N16" s="372">
        <f t="shared" si="2"/>
        <v>-23.76</v>
      </c>
    </row>
    <row r="17" spans="2:14" s="364" customFormat="1" ht="11" customHeight="1">
      <c r="B17" s="365" t="s">
        <v>31</v>
      </c>
      <c r="C17" s="366" t="s">
        <v>32</v>
      </c>
      <c r="D17" s="367">
        <v>59009</v>
      </c>
      <c r="E17" s="367"/>
      <c r="F17" s="368">
        <f t="shared" si="0"/>
        <v>59009</v>
      </c>
      <c r="G17" s="369">
        <v>1963</v>
      </c>
      <c r="H17" s="369">
        <v>7.7</v>
      </c>
      <c r="I17" s="370">
        <v>0.5</v>
      </c>
      <c r="J17" s="371">
        <f t="shared" si="1"/>
        <v>3.85</v>
      </c>
      <c r="K17" s="370">
        <v>0.9</v>
      </c>
      <c r="L17" s="370">
        <v>0.1</v>
      </c>
      <c r="M17" s="370"/>
      <c r="N17" s="372">
        <f t="shared" si="2"/>
        <v>-3.7345000000000002</v>
      </c>
    </row>
    <row r="18" spans="2:14" s="364" customFormat="1" ht="11" customHeight="1">
      <c r="B18" s="365" t="s">
        <v>33</v>
      </c>
      <c r="C18" s="366" t="s">
        <v>34</v>
      </c>
      <c r="D18" s="367">
        <v>59970</v>
      </c>
      <c r="E18" s="367"/>
      <c r="F18" s="368">
        <f t="shared" si="0"/>
        <v>59970</v>
      </c>
      <c r="G18" s="369">
        <v>1977</v>
      </c>
      <c r="H18" s="369">
        <v>9.75</v>
      </c>
      <c r="I18" s="370">
        <v>0.4</v>
      </c>
      <c r="J18" s="371">
        <f t="shared" si="1"/>
        <v>5.85</v>
      </c>
      <c r="K18" s="370">
        <v>0.5</v>
      </c>
      <c r="L18" s="370">
        <v>0.45</v>
      </c>
      <c r="M18" s="370">
        <v>0.05</v>
      </c>
      <c r="N18" s="372">
        <f t="shared" si="2"/>
        <v>-32.321249999999999</v>
      </c>
    </row>
    <row r="19" spans="2:14" s="364" customFormat="1" ht="11" customHeight="1">
      <c r="B19" s="365" t="s">
        <v>74</v>
      </c>
      <c r="C19" s="366" t="s">
        <v>35</v>
      </c>
      <c r="D19" s="367">
        <v>88513</v>
      </c>
      <c r="E19" s="367"/>
      <c r="F19" s="368">
        <f t="shared" si="0"/>
        <v>88513</v>
      </c>
      <c r="G19" s="369">
        <v>1923</v>
      </c>
      <c r="H19" s="369">
        <v>7</v>
      </c>
      <c r="I19" s="370">
        <v>0.45</v>
      </c>
      <c r="J19" s="371">
        <f t="shared" si="1"/>
        <v>3.8500000000000005</v>
      </c>
      <c r="K19" s="370">
        <v>0.9</v>
      </c>
      <c r="L19" s="370">
        <v>0.1</v>
      </c>
      <c r="M19" s="370"/>
      <c r="N19" s="372">
        <f t="shared" si="2"/>
        <v>-3.7345000000000006</v>
      </c>
    </row>
    <row r="20" spans="2:14" s="364" customFormat="1" ht="11" customHeight="1">
      <c r="B20" s="365" t="s">
        <v>36</v>
      </c>
      <c r="C20" s="366" t="s">
        <v>37</v>
      </c>
      <c r="D20" s="367">
        <v>43435</v>
      </c>
      <c r="E20" s="367">
        <v>13194</v>
      </c>
      <c r="F20" s="368">
        <f t="shared" si="0"/>
        <v>56629</v>
      </c>
      <c r="G20" s="369">
        <v>1951</v>
      </c>
      <c r="H20" s="369">
        <v>10</v>
      </c>
      <c r="I20" s="370">
        <v>0.2</v>
      </c>
      <c r="J20" s="371">
        <f t="shared" si="1"/>
        <v>8</v>
      </c>
      <c r="K20" s="370">
        <v>0.95</v>
      </c>
      <c r="L20" s="370">
        <v>0.05</v>
      </c>
      <c r="M20" s="370"/>
      <c r="N20" s="372">
        <f t="shared" si="2"/>
        <v>-7.08</v>
      </c>
    </row>
    <row r="21" spans="2:14" s="364" customFormat="1" ht="11" customHeight="1">
      <c r="B21" s="365" t="s">
        <v>69</v>
      </c>
      <c r="C21" s="366" t="s">
        <v>38</v>
      </c>
      <c r="D21" s="367">
        <v>63776</v>
      </c>
      <c r="E21" s="367"/>
      <c r="F21" s="368">
        <f t="shared" si="0"/>
        <v>63776</v>
      </c>
      <c r="G21" s="369">
        <v>1939</v>
      </c>
      <c r="H21" s="369">
        <v>17</v>
      </c>
      <c r="I21" s="370">
        <v>0.25</v>
      </c>
      <c r="J21" s="371">
        <f t="shared" si="1"/>
        <v>12.75</v>
      </c>
      <c r="K21" s="370">
        <v>0.9</v>
      </c>
      <c r="L21" s="370">
        <v>0.1</v>
      </c>
      <c r="M21" s="370"/>
      <c r="N21" s="372">
        <f t="shared" si="2"/>
        <v>-12.3675</v>
      </c>
    </row>
    <row r="22" spans="2:14" s="364" customFormat="1" ht="11" customHeight="1">
      <c r="B22" s="365" t="s">
        <v>39</v>
      </c>
      <c r="C22" s="366" t="s">
        <v>40</v>
      </c>
      <c r="D22" s="367">
        <v>53800</v>
      </c>
      <c r="E22" s="367"/>
      <c r="F22" s="368">
        <f t="shared" si="0"/>
        <v>53800</v>
      </c>
      <c r="G22" s="369">
        <v>1957</v>
      </c>
      <c r="H22" s="369">
        <v>11.33</v>
      </c>
      <c r="I22" s="370">
        <v>0.25</v>
      </c>
      <c r="J22" s="371">
        <f t="shared" si="1"/>
        <v>8.4975000000000005</v>
      </c>
      <c r="K22" s="370">
        <v>0.95</v>
      </c>
      <c r="L22" s="370">
        <v>0.05</v>
      </c>
      <c r="M22" s="370"/>
      <c r="N22" s="372">
        <f t="shared" si="2"/>
        <v>-7.5202875000000011</v>
      </c>
    </row>
    <row r="23" spans="2:14" s="364" customFormat="1" ht="11" customHeight="1">
      <c r="B23" s="365" t="s">
        <v>41</v>
      </c>
      <c r="C23" s="366" t="s">
        <v>42</v>
      </c>
      <c r="D23" s="367">
        <v>41631</v>
      </c>
      <c r="E23" s="367"/>
      <c r="F23" s="368">
        <f t="shared" si="0"/>
        <v>41631</v>
      </c>
      <c r="G23" s="369">
        <v>1944</v>
      </c>
      <c r="H23" s="369">
        <v>4</v>
      </c>
      <c r="I23" s="370">
        <v>0.7</v>
      </c>
      <c r="J23" s="371">
        <f t="shared" si="1"/>
        <v>1.2000000000000002</v>
      </c>
      <c r="K23" s="370">
        <v>0.97</v>
      </c>
      <c r="L23" s="370">
        <v>0.03</v>
      </c>
      <c r="M23" s="370"/>
      <c r="N23" s="372">
        <f t="shared" si="2"/>
        <v>-1.0212000000000001</v>
      </c>
    </row>
    <row r="24" spans="2:14" s="364" customFormat="1" ht="11" customHeight="1">
      <c r="B24" s="365" t="s">
        <v>44</v>
      </c>
      <c r="C24" s="366" t="s">
        <v>45</v>
      </c>
      <c r="D24" s="367">
        <v>58470</v>
      </c>
      <c r="E24" s="367">
        <v>4834</v>
      </c>
      <c r="F24" s="368">
        <f t="shared" si="0"/>
        <v>63304</v>
      </c>
      <c r="G24" s="369">
        <v>1963</v>
      </c>
      <c r="H24" s="369">
        <v>24.75</v>
      </c>
      <c r="I24" s="370">
        <v>0.2</v>
      </c>
      <c r="J24" s="371">
        <f t="shared" si="1"/>
        <v>19.8</v>
      </c>
      <c r="K24" s="370">
        <v>0.3</v>
      </c>
      <c r="L24" s="370">
        <v>0.4</v>
      </c>
      <c r="M24" s="370">
        <v>0.25</v>
      </c>
      <c r="N24" s="372">
        <f t="shared" si="2"/>
        <v>-420.55200000000002</v>
      </c>
    </row>
    <row r="25" spans="2:14" s="364" customFormat="1" ht="11" customHeight="1">
      <c r="B25" s="365" t="s">
        <v>46</v>
      </c>
      <c r="C25" s="366" t="s">
        <v>47</v>
      </c>
      <c r="D25" s="367">
        <v>49482</v>
      </c>
      <c r="E25" s="367">
        <v>8360</v>
      </c>
      <c r="F25" s="368">
        <f t="shared" si="0"/>
        <v>57842</v>
      </c>
      <c r="G25" s="369">
        <v>1960</v>
      </c>
      <c r="H25" s="369">
        <v>18.5</v>
      </c>
      <c r="I25" s="370">
        <v>0.25</v>
      </c>
      <c r="J25" s="371">
        <f t="shared" si="1"/>
        <v>13.875</v>
      </c>
      <c r="K25" s="370">
        <v>0.7</v>
      </c>
      <c r="L25" s="370">
        <v>0.3</v>
      </c>
      <c r="M25" s="370"/>
      <c r="N25" s="372">
        <f t="shared" si="2"/>
        <v>-18.17625</v>
      </c>
    </row>
    <row r="26" spans="2:14" s="364" customFormat="1" ht="11" customHeight="1">
      <c r="B26" s="374" t="s">
        <v>75</v>
      </c>
      <c r="C26" s="375"/>
      <c r="D26" s="376"/>
      <c r="E26" s="376"/>
      <c r="F26" s="376"/>
      <c r="G26" s="377"/>
      <c r="H26" s="378">
        <f>AVERAGE(H4:H25)</f>
        <v>13.60409090909091</v>
      </c>
      <c r="I26" s="379"/>
      <c r="J26" s="380"/>
      <c r="K26" s="381"/>
      <c r="L26" s="381"/>
      <c r="M26" s="381"/>
      <c r="N26" s="382">
        <f>AVERAGE(N4:N25)</f>
        <v>-34.20893693181818</v>
      </c>
    </row>
    <row r="27" spans="2:14" s="364" customFormat="1" ht="11" customHeight="1">
      <c r="B27" s="365" t="s">
        <v>49</v>
      </c>
      <c r="C27" s="366" t="s">
        <v>50</v>
      </c>
      <c r="D27" s="367">
        <v>156000</v>
      </c>
      <c r="E27" s="367"/>
      <c r="F27" s="368">
        <f>E27+D27</f>
        <v>156000</v>
      </c>
      <c r="G27" s="369">
        <v>1972</v>
      </c>
      <c r="H27" s="369">
        <v>26.45</v>
      </c>
      <c r="I27" s="370">
        <v>0.45</v>
      </c>
      <c r="J27" s="371">
        <f>(1-I27)*H27</f>
        <v>14.547500000000001</v>
      </c>
      <c r="K27" s="370">
        <v>0.6</v>
      </c>
      <c r="L27" s="370">
        <v>0.4</v>
      </c>
      <c r="M27" s="370"/>
      <c r="N27" s="372">
        <f>-(K27*J27*0.8)-(L27*J27*2.5)-(M27*J27*80)</f>
        <v>-21.530300000000004</v>
      </c>
    </row>
    <row r="28" spans="2:14" s="364" customFormat="1" ht="11" customHeight="1">
      <c r="B28" s="365" t="s">
        <v>51</v>
      </c>
      <c r="C28" s="366" t="s">
        <v>52</v>
      </c>
      <c r="D28" s="367">
        <v>185156</v>
      </c>
      <c r="E28" s="367"/>
      <c r="F28" s="368">
        <f>E28+D28</f>
        <v>185156</v>
      </c>
      <c r="G28" s="369">
        <v>1960</v>
      </c>
      <c r="H28" s="369">
        <v>26</v>
      </c>
      <c r="I28" s="370">
        <v>0.25</v>
      </c>
      <c r="J28" s="371">
        <f>(1-I28)*H28</f>
        <v>19.5</v>
      </c>
      <c r="K28" s="370">
        <v>0.9</v>
      </c>
      <c r="L28" s="370">
        <v>0.1</v>
      </c>
      <c r="M28" s="370"/>
      <c r="N28" s="372">
        <f>-(K28*J28*0.8)-(L28*J28*2.5)-(M28*J28*80)</f>
        <v>-18.914999999999999</v>
      </c>
    </row>
    <row r="29" spans="2:14" s="364" customFormat="1" ht="11" customHeight="1">
      <c r="B29" s="365" t="s">
        <v>53</v>
      </c>
      <c r="C29" s="366" t="s">
        <v>54</v>
      </c>
      <c r="D29" s="367">
        <v>162758</v>
      </c>
      <c r="E29" s="367"/>
      <c r="F29" s="368">
        <f>E29+D29</f>
        <v>162758</v>
      </c>
      <c r="G29" s="369">
        <v>1968</v>
      </c>
      <c r="H29" s="369">
        <v>30.5</v>
      </c>
      <c r="I29" s="370">
        <v>0.15</v>
      </c>
      <c r="J29" s="371">
        <f>(1-I29)*H29</f>
        <v>25.925000000000001</v>
      </c>
      <c r="K29" s="370">
        <v>0.25</v>
      </c>
      <c r="L29" s="370">
        <v>0.7</v>
      </c>
      <c r="M29" s="370">
        <v>0.05</v>
      </c>
      <c r="N29" s="372">
        <f>-(K29*J29*0.8)-(L29*J29*2.5)-(M29*J29*80)</f>
        <v>-154.25375000000003</v>
      </c>
    </row>
    <row r="30" spans="2:14" s="364" customFormat="1" ht="11" customHeight="1">
      <c r="B30" s="365" t="s">
        <v>55</v>
      </c>
      <c r="C30" s="366" t="s">
        <v>56</v>
      </c>
      <c r="D30" s="367">
        <v>190090</v>
      </c>
      <c r="E30" s="367"/>
      <c r="F30" s="368">
        <f>E30+D30</f>
        <v>190090</v>
      </c>
      <c r="G30" s="369">
        <v>1937</v>
      </c>
      <c r="H30" s="369">
        <v>12</v>
      </c>
      <c r="I30" s="370">
        <v>0.25</v>
      </c>
      <c r="J30" s="371">
        <f>(1-I30)*H30</f>
        <v>9</v>
      </c>
      <c r="K30" s="370">
        <v>0.75</v>
      </c>
      <c r="L30" s="370">
        <v>0.25</v>
      </c>
      <c r="M30" s="370"/>
      <c r="N30" s="372">
        <f>-(K30*J30*0.8)-(L30*J30*2.5)-(M30*J30*80)</f>
        <v>-11.025</v>
      </c>
    </row>
    <row r="31" spans="2:14" s="364" customFormat="1" ht="11" customHeight="1">
      <c r="B31" s="365" t="s">
        <v>57</v>
      </c>
      <c r="C31" s="366" t="s">
        <v>58</v>
      </c>
      <c r="D31" s="367">
        <v>215942</v>
      </c>
      <c r="E31" s="367"/>
      <c r="F31" s="368">
        <f>E31+D31</f>
        <v>215942</v>
      </c>
      <c r="G31" s="369">
        <v>1950</v>
      </c>
      <c r="H31" s="369">
        <v>20</v>
      </c>
      <c r="I31" s="370">
        <v>0.25</v>
      </c>
      <c r="J31" s="371">
        <f>(1-I31)*H31</f>
        <v>15</v>
      </c>
      <c r="K31" s="370">
        <v>0.9</v>
      </c>
      <c r="L31" s="370">
        <v>0.1</v>
      </c>
      <c r="M31" s="370"/>
      <c r="N31" s="372">
        <f>-(K31*J31*0.8)-(L31*J31*2.5)-(M31*J31*80)</f>
        <v>-14.55</v>
      </c>
    </row>
    <row r="32" spans="2:14" s="364" customFormat="1" ht="11" customHeight="1">
      <c r="B32" s="374" t="s">
        <v>76</v>
      </c>
      <c r="C32" s="366"/>
      <c r="D32" s="367"/>
      <c r="E32" s="367"/>
      <c r="F32" s="368"/>
      <c r="G32" s="369"/>
      <c r="H32" s="383">
        <f>AVERAGE(H27:H31)</f>
        <v>22.990000000000002</v>
      </c>
      <c r="I32" s="381"/>
      <c r="J32" s="380"/>
      <c r="K32" s="381"/>
      <c r="L32" s="381"/>
      <c r="M32" s="381"/>
      <c r="N32" s="384">
        <f>AVERAGE(N27:N31)</f>
        <v>-44.05481000000001</v>
      </c>
    </row>
    <row r="33" spans="2:14" s="364" customFormat="1" ht="11" customHeight="1">
      <c r="B33" s="188" t="s">
        <v>68</v>
      </c>
      <c r="C33" s="366" t="s">
        <v>43</v>
      </c>
      <c r="D33" s="367">
        <v>38402</v>
      </c>
      <c r="E33" s="367"/>
      <c r="F33" s="368">
        <f>E33+D33</f>
        <v>38402</v>
      </c>
      <c r="G33" s="369">
        <v>1949</v>
      </c>
      <c r="H33" s="369">
        <v>9</v>
      </c>
      <c r="I33" s="370">
        <v>0.3</v>
      </c>
      <c r="J33" s="371">
        <f>(1-I33)*H33</f>
        <v>6.3</v>
      </c>
      <c r="K33" s="370">
        <v>0.65</v>
      </c>
      <c r="L33" s="370">
        <v>0.35</v>
      </c>
      <c r="M33" s="370"/>
      <c r="N33" s="372">
        <f>-(K33*J33*0.8)-(L33*J33*2.5)-(M33*J33*80)</f>
        <v>-8.7884999999999991</v>
      </c>
    </row>
    <row r="34" spans="2:14" s="364" customFormat="1" ht="11" customHeight="1">
      <c r="B34" s="365" t="s">
        <v>59</v>
      </c>
      <c r="C34" s="366" t="s">
        <v>60</v>
      </c>
      <c r="D34" s="367">
        <v>405187</v>
      </c>
      <c r="E34" s="367"/>
      <c r="F34" s="368">
        <f>E34+D34</f>
        <v>405187</v>
      </c>
      <c r="G34" s="369">
        <v>1969</v>
      </c>
      <c r="H34" s="369">
        <v>55.5</v>
      </c>
      <c r="I34" s="370">
        <v>0.6</v>
      </c>
      <c r="J34" s="371">
        <f>(1-I34)*H34</f>
        <v>22.200000000000003</v>
      </c>
      <c r="K34" s="370">
        <v>0.7</v>
      </c>
      <c r="L34" s="370">
        <v>0.27</v>
      </c>
      <c r="M34" s="370">
        <v>0.03</v>
      </c>
      <c r="N34" s="372">
        <f>-(K34*J34*0.8)-(L34*J34*2.5)-(M34*J34*80)</f>
        <v>-80.697000000000003</v>
      </c>
    </row>
    <row r="35" spans="2:14" s="364" customFormat="1" ht="11" customHeight="1">
      <c r="B35" s="365" t="s">
        <v>61</v>
      </c>
      <c r="C35" s="366" t="s">
        <v>62</v>
      </c>
      <c r="D35" s="367">
        <v>404692</v>
      </c>
      <c r="E35" s="367"/>
      <c r="F35" s="368">
        <f>E35+D35</f>
        <v>404692</v>
      </c>
      <c r="G35" s="369">
        <v>1956</v>
      </c>
      <c r="H35" s="369">
        <v>177</v>
      </c>
      <c r="I35" s="370">
        <v>0.2</v>
      </c>
      <c r="J35" s="371">
        <f>(1-I35)*H35</f>
        <v>141.6</v>
      </c>
      <c r="K35" s="370">
        <v>0.35</v>
      </c>
      <c r="L35" s="370">
        <v>0.62</v>
      </c>
      <c r="M35" s="370">
        <v>0.03</v>
      </c>
      <c r="N35" s="372">
        <f>-(K35*J35*0.8)-(L35*J35*2.5)-(M35*J35*80)</f>
        <v>-598.96799999999996</v>
      </c>
    </row>
    <row r="36" spans="2:14" s="364" customFormat="1" ht="11" customHeight="1">
      <c r="B36" s="365" t="s">
        <v>63</v>
      </c>
      <c r="C36" s="366" t="s">
        <v>64</v>
      </c>
      <c r="D36" s="367">
        <v>58200</v>
      </c>
      <c r="E36" s="367"/>
      <c r="F36" s="368">
        <f>E36+D36</f>
        <v>58200</v>
      </c>
      <c r="G36" s="369">
        <v>1922</v>
      </c>
      <c r="H36" s="369">
        <v>3.2</v>
      </c>
      <c r="I36" s="370">
        <v>0.5</v>
      </c>
      <c r="J36" s="371">
        <f>(1-I36)*H36</f>
        <v>1.6</v>
      </c>
      <c r="K36" s="370">
        <v>0.9</v>
      </c>
      <c r="L36" s="370">
        <v>0.1</v>
      </c>
      <c r="M36" s="370"/>
      <c r="N36" s="372">
        <f>-(K36*J36*0.8)-(L36*J36*2.5)-(M36*J36*80)</f>
        <v>-1.5520000000000003</v>
      </c>
    </row>
    <row r="37" spans="2:14" s="364" customFormat="1" ht="11" customHeight="1">
      <c r="B37" s="365" t="s">
        <v>65</v>
      </c>
      <c r="C37" s="366" t="s">
        <v>66</v>
      </c>
      <c r="D37" s="367">
        <v>380564</v>
      </c>
      <c r="E37" s="367"/>
      <c r="F37" s="368">
        <f>E37+D37</f>
        <v>380564</v>
      </c>
      <c r="G37" s="369">
        <v>2008</v>
      </c>
      <c r="H37" s="369">
        <v>108</v>
      </c>
      <c r="I37" s="370">
        <v>0.2</v>
      </c>
      <c r="J37" s="371">
        <f>(1-I37)*H37</f>
        <v>86.4</v>
      </c>
      <c r="K37" s="370">
        <v>0.25</v>
      </c>
      <c r="L37" s="370">
        <v>0.7</v>
      </c>
      <c r="M37" s="370">
        <v>0.05</v>
      </c>
      <c r="N37" s="372">
        <f>-(K37*J37*0.8)-(L37*J37*2.5)-(M37*J37*80)</f>
        <v>-514.08000000000004</v>
      </c>
    </row>
    <row r="38" spans="2:14" s="364" customFormat="1" ht="11" customHeight="1">
      <c r="B38" s="374" t="s">
        <v>77</v>
      </c>
      <c r="C38" s="366"/>
      <c r="D38" s="367"/>
      <c r="E38" s="367"/>
      <c r="F38" s="368"/>
      <c r="G38" s="369"/>
      <c r="H38" s="383">
        <f>AVERAGE(H33:H37)</f>
        <v>70.539999999999992</v>
      </c>
      <c r="I38" s="381"/>
      <c r="J38" s="385"/>
      <c r="K38" s="381"/>
      <c r="L38" s="381"/>
      <c r="M38" s="381"/>
      <c r="N38" s="384">
        <f>AVERAGE(N33:N37)</f>
        <v>-240.81710000000004</v>
      </c>
    </row>
    <row r="39" spans="2:14" s="364" customFormat="1" ht="11" customHeight="1">
      <c r="B39" s="365" t="s">
        <v>88</v>
      </c>
      <c r="C39" s="386"/>
      <c r="D39" s="386"/>
      <c r="E39" s="386"/>
      <c r="F39" s="386"/>
      <c r="G39" s="386"/>
      <c r="H39" s="369">
        <v>6.36</v>
      </c>
      <c r="I39" s="370">
        <v>0.75</v>
      </c>
      <c r="J39" s="371">
        <f>(1-I39)*H39</f>
        <v>1.59</v>
      </c>
      <c r="K39" s="370">
        <v>0.85</v>
      </c>
      <c r="L39" s="370">
        <v>0.15</v>
      </c>
      <c r="M39" s="370"/>
      <c r="N39" s="372">
        <f>-(K39*J39*0.8)-(L39*J39*2.5)-(M39*J39*80)</f>
        <v>-1.6774499999999999</v>
      </c>
    </row>
    <row r="40" spans="2:14" s="364" customFormat="1" ht="11" customHeight="1">
      <c r="B40" s="365" t="s">
        <v>89</v>
      </c>
      <c r="C40" s="386"/>
      <c r="D40" s="386"/>
      <c r="E40" s="386"/>
      <c r="F40" s="386"/>
      <c r="G40" s="386"/>
      <c r="H40" s="369">
        <v>5.85</v>
      </c>
      <c r="I40" s="370">
        <v>0.75</v>
      </c>
      <c r="J40" s="371">
        <v>7.83</v>
      </c>
      <c r="K40" s="370">
        <v>0.8</v>
      </c>
      <c r="L40" s="370">
        <v>0.15</v>
      </c>
      <c r="M40" s="370">
        <v>0.05</v>
      </c>
      <c r="N40" s="372">
        <f>-(K40*J40*0.8)-(L40*J40*2.5)-(M40*J40*80)</f>
        <v>-39.267449999999997</v>
      </c>
    </row>
    <row r="41" spans="2:14" s="364" customFormat="1" ht="11" customHeight="1" thickBot="1">
      <c r="B41" s="365" t="s">
        <v>1</v>
      </c>
      <c r="C41" s="386"/>
      <c r="D41" s="386"/>
      <c r="E41" s="386"/>
      <c r="F41" s="386"/>
      <c r="G41" s="386"/>
      <c r="H41" s="369">
        <v>3.63</v>
      </c>
      <c r="I41" s="370">
        <v>0.5</v>
      </c>
      <c r="J41" s="371">
        <f>(1-I41)*H41</f>
        <v>1.8149999999999999</v>
      </c>
      <c r="K41" s="370">
        <v>0.2</v>
      </c>
      <c r="L41" s="370">
        <v>0.65</v>
      </c>
      <c r="M41" s="370">
        <v>0.15</v>
      </c>
      <c r="N41" s="372">
        <f>-(K41*J41*0.8)-(L41*J41*2.5)-(M41*J41*80)</f>
        <v>-25.019775000000003</v>
      </c>
    </row>
    <row r="42" spans="2:14" ht="16.25" customHeight="1" thickBot="1">
      <c r="B42" s="88"/>
      <c r="C42" s="79"/>
      <c r="D42" s="79"/>
      <c r="E42" s="79"/>
      <c r="F42" s="79"/>
      <c r="G42" s="79"/>
      <c r="H42" s="79"/>
      <c r="I42" s="166"/>
      <c r="J42" s="728" t="s">
        <v>208</v>
      </c>
      <c r="K42" s="729"/>
      <c r="L42" s="729"/>
      <c r="M42" s="730"/>
      <c r="N42" s="350">
        <f>N41+N40+N39+N37+N36+N35+N34+N33+N31+N30+N29+N28+N27+N25+N24+N23+N22+N21+N20+N19+N18+N17+N16+N15+N14+N13+N12+N11+N10+N9+N8+N7+N6+N5+N4</f>
        <v>-2242.9208374999998</v>
      </c>
    </row>
    <row r="43" spans="2:14" ht="14.75" customHeight="1"/>
    <row r="44" spans="2:14" ht="14.75" customHeight="1"/>
    <row r="45" spans="2:14" ht="14.75" customHeight="1"/>
    <row r="46" spans="2:14" ht="14.75" customHeight="1"/>
    <row r="47" spans="2:14" ht="14.75" customHeight="1"/>
    <row r="48" spans="2:14" ht="14.75" customHeight="1"/>
  </sheetData>
  <mergeCells count="2">
    <mergeCell ref="B2:I2"/>
    <mergeCell ref="J42:M42"/>
  </mergeCells>
  <conditionalFormatting sqref="N4:N25 N27:N31 N33:N37 N39:N41">
    <cfRule type="colorScale" priority="2">
      <colorScale>
        <cfvo type="min"/>
        <cfvo type="percentile" val="50"/>
        <cfvo type="max"/>
        <color rgb="FFF8696B"/>
        <color rgb="FFFFEB84"/>
        <color rgb="FF63BE7B"/>
      </colorScale>
    </cfRule>
  </conditionalFormatting>
  <conditionalFormatting sqref="N39:N41 N33:N37 N27:N31 N4:N25">
    <cfRule type="colorScale" priority="1">
      <colorScale>
        <cfvo type="min"/>
        <cfvo type="percentile" val="50"/>
        <cfvo type="max"/>
        <color rgb="FF63BE7B"/>
        <color rgb="FFFFEB84"/>
        <color rgb="FFF8696B"/>
      </colorScale>
    </cfRule>
  </conditionalFormatting>
  <pageMargins left="0.7" right="0.7" top="0.75" bottom="0.75" header="0.3" footer="0.3"/>
  <pageSetup scale="96" orientation="landscape" horizontalDpi="360" verticalDpi="36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21BEC-64AD-4C78-B3D5-F3E3D32F872A}">
  <sheetPr>
    <pageSetUpPr fitToPage="1"/>
  </sheetPr>
  <dimension ref="B1:S40"/>
  <sheetViews>
    <sheetView zoomScale="80" zoomScaleNormal="80" workbookViewId="0">
      <selection activeCell="F48" sqref="F48"/>
    </sheetView>
  </sheetViews>
  <sheetFormatPr baseColWidth="10" defaultColWidth="8.6640625" defaultRowHeight="15"/>
  <cols>
    <col min="2" max="2" width="20.33203125" customWidth="1"/>
    <col min="3" max="4" width="12.5" customWidth="1"/>
    <col min="5" max="5" width="9.83203125" customWidth="1"/>
    <col min="6" max="6" width="10.5" customWidth="1"/>
    <col min="8" max="9" width="9.83203125" customWidth="1"/>
    <col min="14" max="14" width="10.1640625" customWidth="1"/>
    <col min="15" max="15" width="11.5" customWidth="1"/>
    <col min="17" max="17" width="16.5" customWidth="1"/>
    <col min="19" max="19" width="13.6640625" customWidth="1"/>
  </cols>
  <sheetData>
    <row r="1" spans="2:19" ht="16" thickBot="1"/>
    <row r="2" spans="2:19" ht="21" customHeight="1" thickBot="1">
      <c r="D2" s="734" t="s">
        <v>109</v>
      </c>
      <c r="E2" s="735"/>
      <c r="F2" s="735"/>
      <c r="G2" s="735"/>
      <c r="H2" s="735"/>
      <c r="I2" s="736"/>
      <c r="J2" s="731" t="s">
        <v>110</v>
      </c>
      <c r="K2" s="732"/>
      <c r="L2" s="732"/>
      <c r="M2" s="732"/>
      <c r="N2" s="733"/>
    </row>
    <row r="3" spans="2:19" ht="60.5" customHeight="1" thickBot="1">
      <c r="B3" s="16" t="s">
        <v>2</v>
      </c>
      <c r="C3" s="17" t="s">
        <v>72</v>
      </c>
      <c r="D3" s="17" t="s">
        <v>79</v>
      </c>
      <c r="E3" s="17" t="s">
        <v>80</v>
      </c>
      <c r="F3" s="17" t="s">
        <v>83</v>
      </c>
      <c r="G3" s="17" t="s">
        <v>82</v>
      </c>
      <c r="H3" s="17" t="s">
        <v>81</v>
      </c>
      <c r="I3" s="17" t="s">
        <v>286</v>
      </c>
      <c r="J3" s="17" t="s">
        <v>79</v>
      </c>
      <c r="K3" s="17" t="s">
        <v>80</v>
      </c>
      <c r="L3" s="17" t="s">
        <v>82</v>
      </c>
      <c r="M3" s="17" t="s">
        <v>81</v>
      </c>
      <c r="N3" s="17" t="s">
        <v>286</v>
      </c>
      <c r="O3" s="210" t="s">
        <v>84</v>
      </c>
      <c r="Q3" s="64"/>
      <c r="R3" s="310"/>
      <c r="S3" s="311"/>
    </row>
    <row r="4" spans="2:19" ht="14" customHeight="1">
      <c r="B4" s="6" t="s">
        <v>1</v>
      </c>
      <c r="C4" s="4">
        <v>22995</v>
      </c>
      <c r="D4" s="4">
        <v>2</v>
      </c>
      <c r="E4" s="4"/>
      <c r="F4" s="4"/>
      <c r="G4" s="4">
        <v>1</v>
      </c>
      <c r="H4" s="4">
        <f t="shared" ref="H4:H38" si="0">(G4*42)*((D4*6)+(E4*8)+(F4))</f>
        <v>504</v>
      </c>
      <c r="I4" s="4">
        <f>((H4*27)/C4)*1000</f>
        <v>591.78082191780823</v>
      </c>
      <c r="J4" s="4">
        <v>1</v>
      </c>
      <c r="K4" s="4"/>
      <c r="L4" s="4">
        <v>1</v>
      </c>
      <c r="M4" s="4">
        <f t="shared" ref="M4:M38" si="1">(42*L4)*((J4*6)+(K4*8))</f>
        <v>252</v>
      </c>
      <c r="N4" s="4">
        <f>((M4*27)/C4)*1000</f>
        <v>295.89041095890411</v>
      </c>
      <c r="O4" s="51">
        <f>M4/(M4+H4)</f>
        <v>0.33333333333333331</v>
      </c>
    </row>
    <row r="5" spans="2:19" ht="14" customHeight="1">
      <c r="B5" s="7" t="s">
        <v>265</v>
      </c>
      <c r="C5" s="4">
        <v>52765</v>
      </c>
      <c r="D5" s="4">
        <v>1</v>
      </c>
      <c r="E5" s="4"/>
      <c r="F5" s="4"/>
      <c r="G5" s="4">
        <v>1</v>
      </c>
      <c r="H5" s="4">
        <f t="shared" si="0"/>
        <v>252</v>
      </c>
      <c r="I5" s="4">
        <f t="shared" ref="I5:I38" si="2">((H5*27)/C5)*1000</f>
        <v>128.94911399602009</v>
      </c>
      <c r="J5" s="4">
        <v>1</v>
      </c>
      <c r="K5" s="4"/>
      <c r="L5" s="4">
        <v>1</v>
      </c>
      <c r="M5" s="4">
        <f t="shared" si="1"/>
        <v>252</v>
      </c>
      <c r="N5" s="4">
        <f t="shared" ref="N5:N38" si="3">((M5*27)/C5)*1000</f>
        <v>128.94911399602009</v>
      </c>
      <c r="O5" s="39">
        <f t="shared" ref="O5:O38" si="4">M5/(M5+H5)</f>
        <v>0.5</v>
      </c>
    </row>
    <row r="6" spans="2:19" ht="14" customHeight="1">
      <c r="B6" s="7" t="s">
        <v>7</v>
      </c>
      <c r="C6" s="4">
        <v>65388</v>
      </c>
      <c r="D6" s="4">
        <v>2</v>
      </c>
      <c r="E6" s="4"/>
      <c r="F6" s="4"/>
      <c r="G6" s="4">
        <v>1</v>
      </c>
      <c r="H6" s="4">
        <f t="shared" si="0"/>
        <v>504</v>
      </c>
      <c r="I6" s="4">
        <f t="shared" si="2"/>
        <v>208.11158010644155</v>
      </c>
      <c r="J6" s="4">
        <v>1</v>
      </c>
      <c r="K6" s="4"/>
      <c r="L6" s="4">
        <v>1</v>
      </c>
      <c r="M6" s="4">
        <f t="shared" si="1"/>
        <v>252</v>
      </c>
      <c r="N6" s="4">
        <f t="shared" si="3"/>
        <v>104.05579005322078</v>
      </c>
      <c r="O6" s="39">
        <f t="shared" si="4"/>
        <v>0.33333333333333331</v>
      </c>
    </row>
    <row r="7" spans="2:19" ht="14" customHeight="1">
      <c r="B7" s="7" t="s">
        <v>9</v>
      </c>
      <c r="C7" s="4">
        <v>36868</v>
      </c>
      <c r="D7" s="4">
        <v>1</v>
      </c>
      <c r="E7" s="4"/>
      <c r="F7" s="4"/>
      <c r="G7" s="4">
        <v>1</v>
      </c>
      <c r="H7" s="4">
        <f t="shared" si="0"/>
        <v>252</v>
      </c>
      <c r="I7" s="4">
        <f t="shared" si="2"/>
        <v>184.5502875122057</v>
      </c>
      <c r="J7" s="4">
        <v>1</v>
      </c>
      <c r="K7" s="4"/>
      <c r="L7" s="4">
        <v>1</v>
      </c>
      <c r="M7" s="4">
        <f t="shared" si="1"/>
        <v>252</v>
      </c>
      <c r="N7" s="4">
        <f t="shared" si="3"/>
        <v>184.5502875122057</v>
      </c>
      <c r="O7" s="39">
        <f t="shared" si="4"/>
        <v>0.5</v>
      </c>
    </row>
    <row r="8" spans="2:19" ht="14" customHeight="1">
      <c r="B8" s="7" t="s">
        <v>73</v>
      </c>
      <c r="C8" s="4">
        <v>53090</v>
      </c>
      <c r="D8" s="4">
        <v>2</v>
      </c>
      <c r="E8" s="4"/>
      <c r="F8" s="4"/>
      <c r="G8" s="4">
        <v>1</v>
      </c>
      <c r="H8" s="4">
        <f t="shared" si="0"/>
        <v>504</v>
      </c>
      <c r="I8" s="4">
        <f t="shared" si="2"/>
        <v>256.31945752495761</v>
      </c>
      <c r="J8" s="4">
        <v>1</v>
      </c>
      <c r="K8" s="4"/>
      <c r="L8" s="4">
        <v>1</v>
      </c>
      <c r="M8" s="4">
        <f t="shared" si="1"/>
        <v>252</v>
      </c>
      <c r="N8" s="4">
        <f t="shared" si="3"/>
        <v>128.15972876247881</v>
      </c>
      <c r="O8" s="39">
        <f t="shared" si="4"/>
        <v>0.33333333333333331</v>
      </c>
    </row>
    <row r="9" spans="2:19" ht="14" customHeight="1">
      <c r="B9" s="7" t="s">
        <v>13</v>
      </c>
      <c r="C9" s="4">
        <v>60192</v>
      </c>
      <c r="D9" s="4">
        <v>2</v>
      </c>
      <c r="E9" s="4"/>
      <c r="F9" s="4"/>
      <c r="G9" s="4">
        <v>3</v>
      </c>
      <c r="H9" s="4">
        <f t="shared" si="0"/>
        <v>1512</v>
      </c>
      <c r="I9" s="4">
        <f t="shared" si="2"/>
        <v>678.22966507177034</v>
      </c>
      <c r="J9" s="4">
        <v>1</v>
      </c>
      <c r="K9" s="4"/>
      <c r="L9" s="4">
        <v>1</v>
      </c>
      <c r="M9" s="4">
        <f t="shared" si="1"/>
        <v>252</v>
      </c>
      <c r="N9" s="4">
        <f t="shared" si="3"/>
        <v>113.03827751196171</v>
      </c>
      <c r="O9" s="39">
        <f t="shared" si="4"/>
        <v>0.14285714285714285</v>
      </c>
    </row>
    <row r="10" spans="2:19" ht="14" customHeight="1">
      <c r="B10" s="7" t="s">
        <v>15</v>
      </c>
      <c r="C10" s="4">
        <v>65826</v>
      </c>
      <c r="D10" s="4">
        <v>2</v>
      </c>
      <c r="E10" s="4"/>
      <c r="F10" s="4"/>
      <c r="G10" s="4">
        <v>1</v>
      </c>
      <c r="H10" s="4">
        <f t="shared" si="0"/>
        <v>504</v>
      </c>
      <c r="I10" s="4">
        <f t="shared" si="2"/>
        <v>206.726825266612</v>
      </c>
      <c r="J10" s="4">
        <v>1</v>
      </c>
      <c r="K10" s="4"/>
      <c r="L10" s="4">
        <v>1</v>
      </c>
      <c r="M10" s="4">
        <f t="shared" si="1"/>
        <v>252</v>
      </c>
      <c r="N10" s="4">
        <f t="shared" si="3"/>
        <v>103.363412633306</v>
      </c>
      <c r="O10" s="39">
        <f t="shared" si="4"/>
        <v>0.33333333333333331</v>
      </c>
    </row>
    <row r="11" spans="2:19" ht="14" customHeight="1">
      <c r="B11" s="7" t="s">
        <v>17</v>
      </c>
      <c r="C11" s="4">
        <v>60899</v>
      </c>
      <c r="D11" s="4"/>
      <c r="E11" s="4">
        <v>1</v>
      </c>
      <c r="F11" s="4"/>
      <c r="G11" s="4">
        <v>1</v>
      </c>
      <c r="H11" s="4">
        <f t="shared" si="0"/>
        <v>336</v>
      </c>
      <c r="I11" s="4">
        <f t="shared" si="2"/>
        <v>148.96796334915189</v>
      </c>
      <c r="J11" s="4"/>
      <c r="K11" s="4">
        <v>1</v>
      </c>
      <c r="L11" s="4">
        <v>1</v>
      </c>
      <c r="M11" s="4">
        <f t="shared" si="1"/>
        <v>336</v>
      </c>
      <c r="N11" s="4">
        <f t="shared" si="3"/>
        <v>148.96796334915189</v>
      </c>
      <c r="O11" s="39">
        <f t="shared" si="4"/>
        <v>0.5</v>
      </c>
    </row>
    <row r="12" spans="2:19" ht="14" customHeight="1">
      <c r="B12" s="7" t="s">
        <v>19</v>
      </c>
      <c r="C12" s="4">
        <v>43199</v>
      </c>
      <c r="D12" s="4">
        <v>2</v>
      </c>
      <c r="E12" s="4"/>
      <c r="F12" s="4"/>
      <c r="G12" s="4">
        <v>1</v>
      </c>
      <c r="H12" s="4">
        <f t="shared" si="0"/>
        <v>504</v>
      </c>
      <c r="I12" s="4">
        <f t="shared" si="2"/>
        <v>315.00729183545917</v>
      </c>
      <c r="J12" s="4">
        <v>1</v>
      </c>
      <c r="K12" s="4"/>
      <c r="L12" s="4">
        <v>1</v>
      </c>
      <c r="M12" s="4">
        <f t="shared" si="1"/>
        <v>252</v>
      </c>
      <c r="N12" s="4">
        <f t="shared" si="3"/>
        <v>157.50364591772959</v>
      </c>
      <c r="O12" s="39">
        <f t="shared" si="4"/>
        <v>0.33333333333333331</v>
      </c>
    </row>
    <row r="13" spans="2:19" ht="14" customHeight="1">
      <c r="B13" s="7" t="s">
        <v>21</v>
      </c>
      <c r="C13" s="4">
        <v>32080</v>
      </c>
      <c r="D13" s="4">
        <v>1</v>
      </c>
      <c r="E13" s="4"/>
      <c r="F13" s="4"/>
      <c r="G13" s="4">
        <v>1</v>
      </c>
      <c r="H13" s="4">
        <f t="shared" si="0"/>
        <v>252</v>
      </c>
      <c r="I13" s="4">
        <f t="shared" si="2"/>
        <v>212.09476309226932</v>
      </c>
      <c r="J13" s="4">
        <v>1</v>
      </c>
      <c r="K13" s="4"/>
      <c r="L13" s="4">
        <v>1</v>
      </c>
      <c r="M13" s="4">
        <f t="shared" si="1"/>
        <v>252</v>
      </c>
      <c r="N13" s="4">
        <f t="shared" si="3"/>
        <v>212.09476309226932</v>
      </c>
      <c r="O13" s="39">
        <f t="shared" si="4"/>
        <v>0.5</v>
      </c>
    </row>
    <row r="14" spans="2:19" ht="14" customHeight="1">
      <c r="B14" s="7" t="s">
        <v>23</v>
      </c>
      <c r="C14" s="4">
        <v>62117</v>
      </c>
      <c r="D14" s="4">
        <v>2</v>
      </c>
      <c r="E14" s="4"/>
      <c r="F14" s="4"/>
      <c r="G14" s="4">
        <v>1</v>
      </c>
      <c r="H14" s="4">
        <f t="shared" si="0"/>
        <v>504</v>
      </c>
      <c r="I14" s="4">
        <f t="shared" si="2"/>
        <v>219.07046380217977</v>
      </c>
      <c r="J14" s="4">
        <v>1</v>
      </c>
      <c r="K14" s="4"/>
      <c r="L14" s="4">
        <v>1</v>
      </c>
      <c r="M14" s="4">
        <f t="shared" si="1"/>
        <v>252</v>
      </c>
      <c r="N14" s="4">
        <f t="shared" si="3"/>
        <v>109.53523190108989</v>
      </c>
      <c r="O14" s="39">
        <f t="shared" si="4"/>
        <v>0.33333333333333331</v>
      </c>
    </row>
    <row r="15" spans="2:19" ht="14" customHeight="1">
      <c r="B15" s="7" t="s">
        <v>25</v>
      </c>
      <c r="C15" s="4">
        <v>58032</v>
      </c>
      <c r="D15" s="4">
        <v>2</v>
      </c>
      <c r="E15" s="4"/>
      <c r="F15" s="4"/>
      <c r="G15" s="4">
        <v>1</v>
      </c>
      <c r="H15" s="4">
        <f t="shared" si="0"/>
        <v>504</v>
      </c>
      <c r="I15" s="4">
        <f t="shared" si="2"/>
        <v>234.49131513647643</v>
      </c>
      <c r="J15" s="4">
        <v>1</v>
      </c>
      <c r="K15" s="4"/>
      <c r="L15" s="4">
        <v>1</v>
      </c>
      <c r="M15" s="4">
        <f t="shared" si="1"/>
        <v>252</v>
      </c>
      <c r="N15" s="4">
        <f t="shared" si="3"/>
        <v>117.24565756823822</v>
      </c>
      <c r="O15" s="39">
        <f t="shared" si="4"/>
        <v>0.33333333333333331</v>
      </c>
    </row>
    <row r="16" spans="2:19" ht="14" customHeight="1">
      <c r="B16" s="7" t="s">
        <v>27</v>
      </c>
      <c r="C16" s="4">
        <v>57034</v>
      </c>
      <c r="D16" s="4">
        <v>2</v>
      </c>
      <c r="E16" s="4"/>
      <c r="F16" s="4"/>
      <c r="G16" s="4">
        <v>1</v>
      </c>
      <c r="H16" s="4">
        <f t="shared" si="0"/>
        <v>504</v>
      </c>
      <c r="I16" s="4">
        <f t="shared" si="2"/>
        <v>238.59452256548724</v>
      </c>
      <c r="J16" s="4">
        <v>1</v>
      </c>
      <c r="K16" s="4"/>
      <c r="L16" s="4">
        <v>1</v>
      </c>
      <c r="M16" s="4">
        <f t="shared" si="1"/>
        <v>252</v>
      </c>
      <c r="N16" s="4">
        <f t="shared" si="3"/>
        <v>119.29726128274362</v>
      </c>
      <c r="O16" s="39">
        <f t="shared" si="4"/>
        <v>0.33333333333333331</v>
      </c>
    </row>
    <row r="17" spans="2:15" ht="14" customHeight="1">
      <c r="B17" s="7" t="s">
        <v>29</v>
      </c>
      <c r="C17" s="4">
        <v>42549</v>
      </c>
      <c r="D17" s="4">
        <v>1</v>
      </c>
      <c r="E17" s="4"/>
      <c r="F17" s="4"/>
      <c r="G17" s="4">
        <v>2</v>
      </c>
      <c r="H17" s="4">
        <f t="shared" si="0"/>
        <v>504</v>
      </c>
      <c r="I17" s="4">
        <f t="shared" si="2"/>
        <v>319.81950222096879</v>
      </c>
      <c r="J17" s="4">
        <v>1</v>
      </c>
      <c r="K17" s="4"/>
      <c r="L17" s="4">
        <v>1</v>
      </c>
      <c r="M17" s="4">
        <f t="shared" si="1"/>
        <v>252</v>
      </c>
      <c r="N17" s="4">
        <f t="shared" si="3"/>
        <v>159.90975111048439</v>
      </c>
      <c r="O17" s="39">
        <f t="shared" si="4"/>
        <v>0.33333333333333331</v>
      </c>
    </row>
    <row r="18" spans="2:15" ht="14" customHeight="1">
      <c r="B18" s="7" t="s">
        <v>31</v>
      </c>
      <c r="C18" s="4">
        <v>59009</v>
      </c>
      <c r="D18" s="4">
        <v>2</v>
      </c>
      <c r="E18" s="4"/>
      <c r="F18" s="4"/>
      <c r="G18" s="4">
        <v>1</v>
      </c>
      <c r="H18" s="4">
        <f t="shared" si="0"/>
        <v>504</v>
      </c>
      <c r="I18" s="4">
        <f t="shared" si="2"/>
        <v>230.60889016929619</v>
      </c>
      <c r="J18" s="4">
        <v>1</v>
      </c>
      <c r="K18" s="4"/>
      <c r="L18" s="4">
        <v>1</v>
      </c>
      <c r="M18" s="4">
        <f t="shared" si="1"/>
        <v>252</v>
      </c>
      <c r="N18" s="4">
        <f t="shared" si="3"/>
        <v>115.30444508464809</v>
      </c>
      <c r="O18" s="39">
        <f t="shared" si="4"/>
        <v>0.33333333333333331</v>
      </c>
    </row>
    <row r="19" spans="2:15" ht="14" customHeight="1">
      <c r="B19" s="7" t="s">
        <v>33</v>
      </c>
      <c r="C19" s="4">
        <v>59970</v>
      </c>
      <c r="D19" s="4">
        <v>2</v>
      </c>
      <c r="E19" s="4"/>
      <c r="F19" s="4"/>
      <c r="G19" s="4">
        <v>1</v>
      </c>
      <c r="H19" s="4">
        <f t="shared" si="0"/>
        <v>504</v>
      </c>
      <c r="I19" s="4">
        <f t="shared" si="2"/>
        <v>226.9134567283642</v>
      </c>
      <c r="J19" s="4">
        <v>1</v>
      </c>
      <c r="K19" s="4"/>
      <c r="L19" s="4">
        <v>1</v>
      </c>
      <c r="M19" s="4">
        <f t="shared" si="1"/>
        <v>252</v>
      </c>
      <c r="N19" s="4">
        <f t="shared" si="3"/>
        <v>113.4567283641821</v>
      </c>
      <c r="O19" s="39">
        <f t="shared" si="4"/>
        <v>0.33333333333333331</v>
      </c>
    </row>
    <row r="20" spans="2:15" ht="14" customHeight="1">
      <c r="B20" s="7" t="s">
        <v>74</v>
      </c>
      <c r="C20" s="4">
        <v>88513</v>
      </c>
      <c r="D20" s="4">
        <v>2</v>
      </c>
      <c r="E20" s="4"/>
      <c r="F20" s="4"/>
      <c r="G20" s="4">
        <v>2</v>
      </c>
      <c r="H20" s="4">
        <f t="shared" si="0"/>
        <v>1008</v>
      </c>
      <c r="I20" s="4">
        <f t="shared" si="2"/>
        <v>307.48025713736968</v>
      </c>
      <c r="J20" s="4">
        <v>1</v>
      </c>
      <c r="K20" s="4"/>
      <c r="L20" s="4">
        <v>1</v>
      </c>
      <c r="M20" s="4">
        <f t="shared" si="1"/>
        <v>252</v>
      </c>
      <c r="N20" s="4">
        <f t="shared" si="3"/>
        <v>76.870064284342419</v>
      </c>
      <c r="O20" s="39">
        <f t="shared" si="4"/>
        <v>0.2</v>
      </c>
    </row>
    <row r="21" spans="2:15" ht="14" customHeight="1">
      <c r="B21" s="7" t="s">
        <v>36</v>
      </c>
      <c r="C21" s="4">
        <v>78763</v>
      </c>
      <c r="D21" s="4">
        <v>1</v>
      </c>
      <c r="E21" s="4"/>
      <c r="F21" s="4"/>
      <c r="G21" s="4">
        <v>2</v>
      </c>
      <c r="H21" s="4">
        <f t="shared" si="0"/>
        <v>504</v>
      </c>
      <c r="I21" s="4">
        <f t="shared" si="2"/>
        <v>172.77147899394384</v>
      </c>
      <c r="J21" s="4">
        <v>1</v>
      </c>
      <c r="K21" s="4"/>
      <c r="L21" s="4">
        <v>1</v>
      </c>
      <c r="M21" s="4">
        <f t="shared" si="1"/>
        <v>252</v>
      </c>
      <c r="N21" s="4">
        <f t="shared" si="3"/>
        <v>86.385739496971922</v>
      </c>
      <c r="O21" s="39">
        <f t="shared" si="4"/>
        <v>0.33333333333333331</v>
      </c>
    </row>
    <row r="22" spans="2:15" ht="14" customHeight="1">
      <c r="B22" s="7" t="s">
        <v>69</v>
      </c>
      <c r="C22" s="4">
        <v>82369</v>
      </c>
      <c r="D22" s="4">
        <v>2</v>
      </c>
      <c r="E22" s="4"/>
      <c r="F22" s="4"/>
      <c r="G22" s="4">
        <v>2</v>
      </c>
      <c r="H22" s="4">
        <f t="shared" si="0"/>
        <v>1008</v>
      </c>
      <c r="I22" s="4">
        <f t="shared" si="2"/>
        <v>330.415568964052</v>
      </c>
      <c r="J22" s="4">
        <v>1</v>
      </c>
      <c r="K22" s="4"/>
      <c r="L22" s="4">
        <v>1</v>
      </c>
      <c r="M22" s="4">
        <f t="shared" si="1"/>
        <v>252</v>
      </c>
      <c r="N22" s="4">
        <f t="shared" si="3"/>
        <v>82.603892241013</v>
      </c>
      <c r="O22" s="39">
        <f t="shared" si="4"/>
        <v>0.2</v>
      </c>
    </row>
    <row r="23" spans="2:15" ht="14" customHeight="1">
      <c r="B23" s="7" t="s">
        <v>39</v>
      </c>
      <c r="C23" s="4">
        <v>53800</v>
      </c>
      <c r="D23" s="4">
        <v>1</v>
      </c>
      <c r="E23" s="4"/>
      <c r="F23" s="4"/>
      <c r="G23" s="4">
        <v>2</v>
      </c>
      <c r="H23" s="4">
        <f t="shared" si="0"/>
        <v>504</v>
      </c>
      <c r="I23" s="4">
        <f t="shared" si="2"/>
        <v>252.93680297397771</v>
      </c>
      <c r="J23" s="4">
        <v>1</v>
      </c>
      <c r="K23" s="4"/>
      <c r="L23" s="4">
        <v>1</v>
      </c>
      <c r="M23" s="4">
        <f t="shared" si="1"/>
        <v>252</v>
      </c>
      <c r="N23" s="4">
        <f t="shared" si="3"/>
        <v>126.46840148698885</v>
      </c>
      <c r="O23" s="39">
        <f t="shared" si="4"/>
        <v>0.33333333333333331</v>
      </c>
    </row>
    <row r="24" spans="2:15" ht="14" customHeight="1">
      <c r="B24" s="7" t="s">
        <v>41</v>
      </c>
      <c r="C24" s="4">
        <v>41631</v>
      </c>
      <c r="D24" s="4">
        <v>1</v>
      </c>
      <c r="E24" s="4"/>
      <c r="F24" s="4"/>
      <c r="G24" s="4">
        <v>1</v>
      </c>
      <c r="H24" s="4">
        <f t="shared" si="0"/>
        <v>252</v>
      </c>
      <c r="I24" s="4">
        <f t="shared" si="2"/>
        <v>163.43590113136844</v>
      </c>
      <c r="J24" s="4">
        <v>1</v>
      </c>
      <c r="K24" s="4"/>
      <c r="L24" s="4">
        <v>1</v>
      </c>
      <c r="M24" s="4">
        <f t="shared" si="1"/>
        <v>252</v>
      </c>
      <c r="N24" s="4">
        <f t="shared" si="3"/>
        <v>163.43590113136844</v>
      </c>
      <c r="O24" s="39">
        <f t="shared" si="4"/>
        <v>0.5</v>
      </c>
    </row>
    <row r="25" spans="2:15" ht="14" customHeight="1">
      <c r="B25" s="40" t="s">
        <v>44</v>
      </c>
      <c r="C25" s="10">
        <v>63304</v>
      </c>
      <c r="D25" s="10">
        <v>2</v>
      </c>
      <c r="E25" s="10"/>
      <c r="F25" s="10"/>
      <c r="G25" s="10">
        <v>1</v>
      </c>
      <c r="H25" s="4">
        <f t="shared" si="0"/>
        <v>504</v>
      </c>
      <c r="I25" s="4">
        <f t="shared" si="2"/>
        <v>214.96271957538229</v>
      </c>
      <c r="J25" s="10">
        <v>1</v>
      </c>
      <c r="K25" s="10"/>
      <c r="L25" s="10">
        <v>1</v>
      </c>
      <c r="M25" s="4">
        <f t="shared" si="1"/>
        <v>252</v>
      </c>
      <c r="N25" s="4">
        <f t="shared" si="3"/>
        <v>107.48135978769115</v>
      </c>
      <c r="O25" s="39">
        <f t="shared" si="4"/>
        <v>0.33333333333333331</v>
      </c>
    </row>
    <row r="26" spans="2:15" ht="14" customHeight="1" thickBot="1">
      <c r="B26" s="40" t="s">
        <v>46</v>
      </c>
      <c r="C26" s="13">
        <v>57842</v>
      </c>
      <c r="D26" s="13">
        <v>2</v>
      </c>
      <c r="E26" s="13"/>
      <c r="F26" s="13"/>
      <c r="G26" s="13">
        <v>1</v>
      </c>
      <c r="H26" s="10">
        <f t="shared" si="0"/>
        <v>504</v>
      </c>
      <c r="I26" s="4">
        <f t="shared" si="2"/>
        <v>235.26157463434873</v>
      </c>
      <c r="J26" s="13">
        <v>1</v>
      </c>
      <c r="K26" s="13"/>
      <c r="L26" s="13">
        <v>1</v>
      </c>
      <c r="M26" s="10">
        <f t="shared" si="1"/>
        <v>252</v>
      </c>
      <c r="N26" s="4">
        <f t="shared" si="3"/>
        <v>117.63078731717437</v>
      </c>
      <c r="O26" s="44">
        <f t="shared" si="4"/>
        <v>0.33333333333333331</v>
      </c>
    </row>
    <row r="27" spans="2:15" ht="14" customHeight="1">
      <c r="B27" s="52" t="s">
        <v>49</v>
      </c>
      <c r="C27" s="47">
        <v>156000</v>
      </c>
      <c r="D27" s="47">
        <v>3</v>
      </c>
      <c r="E27" s="47"/>
      <c r="F27" s="47"/>
      <c r="G27" s="47">
        <v>2</v>
      </c>
      <c r="H27" s="47">
        <f t="shared" si="0"/>
        <v>1512</v>
      </c>
      <c r="I27" s="4">
        <f t="shared" si="2"/>
        <v>261.69230769230768</v>
      </c>
      <c r="J27" s="47">
        <v>1</v>
      </c>
      <c r="K27" s="47"/>
      <c r="L27" s="47">
        <v>1</v>
      </c>
      <c r="M27" s="47">
        <f t="shared" si="1"/>
        <v>252</v>
      </c>
      <c r="N27" s="4">
        <f t="shared" si="3"/>
        <v>43.61538461538462</v>
      </c>
      <c r="O27" s="48">
        <f t="shared" si="4"/>
        <v>0.14285714285714285</v>
      </c>
    </row>
    <row r="28" spans="2:15" ht="14" customHeight="1">
      <c r="B28" s="7" t="s">
        <v>51</v>
      </c>
      <c r="C28" s="4">
        <v>185156</v>
      </c>
      <c r="D28" s="4">
        <v>4</v>
      </c>
      <c r="E28" s="4"/>
      <c r="F28" s="4"/>
      <c r="G28" s="4">
        <v>1</v>
      </c>
      <c r="H28" s="4">
        <f t="shared" si="0"/>
        <v>1008</v>
      </c>
      <c r="I28" s="4">
        <f t="shared" si="2"/>
        <v>146.98956555553156</v>
      </c>
      <c r="J28" s="4">
        <v>2</v>
      </c>
      <c r="K28" s="4"/>
      <c r="L28" s="4">
        <v>1</v>
      </c>
      <c r="M28" s="4">
        <f t="shared" si="1"/>
        <v>504</v>
      </c>
      <c r="N28" s="4">
        <f t="shared" si="3"/>
        <v>73.494782777765778</v>
      </c>
      <c r="O28" s="39">
        <f t="shared" si="4"/>
        <v>0.33333333333333331</v>
      </c>
    </row>
    <row r="29" spans="2:15" ht="14" customHeight="1">
      <c r="B29" s="7" t="s">
        <v>53</v>
      </c>
      <c r="C29" s="4">
        <v>162758</v>
      </c>
      <c r="D29" s="4">
        <v>3</v>
      </c>
      <c r="E29" s="4"/>
      <c r="F29" s="4"/>
      <c r="G29" s="4">
        <v>1</v>
      </c>
      <c r="H29" s="4">
        <f t="shared" si="0"/>
        <v>756</v>
      </c>
      <c r="I29" s="4">
        <f t="shared" si="2"/>
        <v>125.41319013504712</v>
      </c>
      <c r="J29" s="4">
        <v>2</v>
      </c>
      <c r="K29" s="4"/>
      <c r="L29" s="4">
        <v>2</v>
      </c>
      <c r="M29" s="4">
        <f t="shared" si="1"/>
        <v>1008</v>
      </c>
      <c r="N29" s="4">
        <f t="shared" si="3"/>
        <v>167.21758684672949</v>
      </c>
      <c r="O29" s="39">
        <f t="shared" si="4"/>
        <v>0.5714285714285714</v>
      </c>
    </row>
    <row r="30" spans="2:15" ht="14" customHeight="1">
      <c r="B30" s="40" t="s">
        <v>55</v>
      </c>
      <c r="C30" s="10">
        <v>190090</v>
      </c>
      <c r="D30" s="10">
        <v>2</v>
      </c>
      <c r="E30" s="10"/>
      <c r="F30" s="10"/>
      <c r="G30" s="10">
        <v>2</v>
      </c>
      <c r="H30" s="4">
        <f t="shared" si="0"/>
        <v>1008</v>
      </c>
      <c r="I30" s="4">
        <f t="shared" si="2"/>
        <v>143.17428586459047</v>
      </c>
      <c r="J30" s="10">
        <v>1</v>
      </c>
      <c r="K30" s="10"/>
      <c r="L30" s="10">
        <v>1</v>
      </c>
      <c r="M30" s="4">
        <f t="shared" si="1"/>
        <v>252</v>
      </c>
      <c r="N30" s="4">
        <f t="shared" si="3"/>
        <v>35.793571466147618</v>
      </c>
      <c r="O30" s="39">
        <f t="shared" si="4"/>
        <v>0.2</v>
      </c>
    </row>
    <row r="31" spans="2:15" ht="14" customHeight="1" thickBot="1">
      <c r="B31" s="41" t="s">
        <v>57</v>
      </c>
      <c r="C31" s="5">
        <v>215942</v>
      </c>
      <c r="D31" s="5">
        <v>2</v>
      </c>
      <c r="E31" s="5"/>
      <c r="F31" s="5"/>
      <c r="G31" s="5">
        <v>2</v>
      </c>
      <c r="H31" s="49">
        <f t="shared" si="0"/>
        <v>1008</v>
      </c>
      <c r="I31" s="4">
        <f t="shared" si="2"/>
        <v>126.03384242064999</v>
      </c>
      <c r="J31" s="5">
        <v>1</v>
      </c>
      <c r="K31" s="5"/>
      <c r="L31" s="5">
        <v>1</v>
      </c>
      <c r="M31" s="49">
        <f t="shared" si="1"/>
        <v>252</v>
      </c>
      <c r="N31" s="4">
        <f t="shared" si="3"/>
        <v>31.508460605162497</v>
      </c>
      <c r="O31" s="50">
        <f t="shared" si="4"/>
        <v>0.2</v>
      </c>
    </row>
    <row r="32" spans="2:15" ht="14" customHeight="1">
      <c r="B32" s="8" t="s">
        <v>68</v>
      </c>
      <c r="C32" s="4">
        <v>38402</v>
      </c>
      <c r="D32" s="4">
        <v>2</v>
      </c>
      <c r="E32" s="4"/>
      <c r="F32" s="4"/>
      <c r="G32" s="4">
        <v>1</v>
      </c>
      <c r="H32" s="4">
        <f t="shared" si="0"/>
        <v>504</v>
      </c>
      <c r="I32" s="4">
        <f t="shared" si="2"/>
        <v>354.35654393000368</v>
      </c>
      <c r="J32" s="4">
        <v>1</v>
      </c>
      <c r="K32" s="4"/>
      <c r="L32" s="4">
        <v>1</v>
      </c>
      <c r="M32" s="4">
        <f t="shared" si="1"/>
        <v>252</v>
      </c>
      <c r="N32" s="4">
        <f t="shared" si="3"/>
        <v>177.17827196500184</v>
      </c>
      <c r="O32" s="51">
        <f t="shared" si="4"/>
        <v>0.33333333333333331</v>
      </c>
    </row>
    <row r="33" spans="2:15" ht="14" customHeight="1">
      <c r="B33" s="7" t="s">
        <v>59</v>
      </c>
      <c r="C33" s="4">
        <v>405187</v>
      </c>
      <c r="D33" s="4">
        <v>2</v>
      </c>
      <c r="E33" s="4"/>
      <c r="F33" s="4">
        <v>45</v>
      </c>
      <c r="G33" s="4">
        <v>1</v>
      </c>
      <c r="H33" s="4">
        <f t="shared" si="0"/>
        <v>2394</v>
      </c>
      <c r="I33" s="4">
        <f t="shared" si="2"/>
        <v>159.52634215806529</v>
      </c>
      <c r="J33" s="4">
        <v>2</v>
      </c>
      <c r="K33" s="4"/>
      <c r="L33" s="4">
        <v>1</v>
      </c>
      <c r="M33" s="4">
        <f t="shared" si="1"/>
        <v>504</v>
      </c>
      <c r="N33" s="4">
        <f t="shared" si="3"/>
        <v>33.584493085908484</v>
      </c>
      <c r="O33" s="39">
        <f t="shared" si="4"/>
        <v>0.17391304347826086</v>
      </c>
    </row>
    <row r="34" spans="2:15" ht="14" customHeight="1">
      <c r="B34" s="7" t="s">
        <v>61</v>
      </c>
      <c r="C34" s="4">
        <v>404692</v>
      </c>
      <c r="D34" s="4"/>
      <c r="E34" s="4"/>
      <c r="F34" s="4">
        <v>165</v>
      </c>
      <c r="G34" s="14">
        <v>0.8</v>
      </c>
      <c r="H34" s="4">
        <f t="shared" si="0"/>
        <v>5544</v>
      </c>
      <c r="I34" s="4">
        <f t="shared" si="2"/>
        <v>369.88129243968257</v>
      </c>
      <c r="J34" s="4">
        <v>3</v>
      </c>
      <c r="K34" s="4"/>
      <c r="L34" s="4">
        <v>2</v>
      </c>
      <c r="M34" s="4">
        <f t="shared" si="1"/>
        <v>1512</v>
      </c>
      <c r="N34" s="4">
        <f t="shared" si="3"/>
        <v>100.87671611991341</v>
      </c>
      <c r="O34" s="39">
        <f t="shared" si="4"/>
        <v>0.21428571428571427</v>
      </c>
    </row>
    <row r="35" spans="2:15" ht="14" customHeight="1">
      <c r="B35" s="40" t="s">
        <v>63</v>
      </c>
      <c r="C35" s="10">
        <v>58200</v>
      </c>
      <c r="D35" s="15">
        <v>1</v>
      </c>
      <c r="E35" s="15"/>
      <c r="F35" s="15">
        <v>10</v>
      </c>
      <c r="G35" s="15">
        <v>2</v>
      </c>
      <c r="H35" s="4">
        <f t="shared" si="0"/>
        <v>1344</v>
      </c>
      <c r="I35" s="4">
        <f t="shared" si="2"/>
        <v>623.5051546391752</v>
      </c>
      <c r="J35" s="10"/>
      <c r="K35" s="10">
        <v>1</v>
      </c>
      <c r="L35" s="10">
        <v>1</v>
      </c>
      <c r="M35" s="4">
        <f t="shared" si="1"/>
        <v>336</v>
      </c>
      <c r="N35" s="4">
        <f t="shared" si="3"/>
        <v>155.8762886597938</v>
      </c>
      <c r="O35" s="42">
        <f t="shared" si="4"/>
        <v>0.2</v>
      </c>
    </row>
    <row r="36" spans="2:15" ht="14" customHeight="1" thickBot="1">
      <c r="B36" s="40" t="s">
        <v>65</v>
      </c>
      <c r="C36" s="13">
        <v>380564</v>
      </c>
      <c r="D36" s="13"/>
      <c r="E36" s="13"/>
      <c r="F36" s="13">
        <v>35</v>
      </c>
      <c r="G36" s="13">
        <v>1</v>
      </c>
      <c r="H36" s="10">
        <f t="shared" si="0"/>
        <v>1470</v>
      </c>
      <c r="I36" s="4">
        <f t="shared" si="2"/>
        <v>104.29257628151902</v>
      </c>
      <c r="J36" s="13">
        <v>2</v>
      </c>
      <c r="K36" s="13"/>
      <c r="L36" s="13">
        <v>1</v>
      </c>
      <c r="M36" s="10">
        <f t="shared" si="1"/>
        <v>504</v>
      </c>
      <c r="N36" s="4">
        <f t="shared" si="3"/>
        <v>35.757454725092231</v>
      </c>
      <c r="O36" s="44">
        <f t="shared" si="4"/>
        <v>0.25531914893617019</v>
      </c>
    </row>
    <row r="37" spans="2:15" ht="14" customHeight="1">
      <c r="B37" s="45" t="s">
        <v>5</v>
      </c>
      <c r="C37" s="46">
        <v>46600</v>
      </c>
      <c r="D37" s="46">
        <v>3</v>
      </c>
      <c r="E37" s="46"/>
      <c r="F37" s="46"/>
      <c r="G37" s="46">
        <v>1</v>
      </c>
      <c r="H37" s="47">
        <f t="shared" si="0"/>
        <v>756</v>
      </c>
      <c r="I37" s="4">
        <f t="shared" si="2"/>
        <v>438.02575107296138</v>
      </c>
      <c r="J37" s="46">
        <v>2</v>
      </c>
      <c r="K37" s="46"/>
      <c r="L37" s="46">
        <v>2</v>
      </c>
      <c r="M37" s="47">
        <f t="shared" si="1"/>
        <v>1008</v>
      </c>
      <c r="N37" s="4">
        <f t="shared" si="3"/>
        <v>584.03433476394855</v>
      </c>
      <c r="O37" s="48">
        <f t="shared" si="4"/>
        <v>0.5714285714285714</v>
      </c>
    </row>
    <row r="38" spans="2:15" ht="14" customHeight="1" thickBot="1">
      <c r="B38" s="43" t="s">
        <v>89</v>
      </c>
      <c r="C38" s="5">
        <v>18294</v>
      </c>
      <c r="D38" s="5">
        <v>1</v>
      </c>
      <c r="E38" s="5"/>
      <c r="F38" s="5"/>
      <c r="G38" s="5">
        <v>1</v>
      </c>
      <c r="H38" s="49">
        <f t="shared" si="0"/>
        <v>252</v>
      </c>
      <c r="I38" s="4">
        <f t="shared" si="2"/>
        <v>371.92522138406036</v>
      </c>
      <c r="J38" s="5">
        <v>0</v>
      </c>
      <c r="K38" s="5"/>
      <c r="L38" s="5">
        <v>0</v>
      </c>
      <c r="M38" s="49">
        <f t="shared" si="1"/>
        <v>0</v>
      </c>
      <c r="N38" s="4">
        <f t="shared" si="3"/>
        <v>0</v>
      </c>
      <c r="O38" s="50">
        <f t="shared" si="4"/>
        <v>0</v>
      </c>
    </row>
    <row r="39" spans="2:15" ht="20" thickBot="1">
      <c r="B39" s="211"/>
      <c r="C39" s="212">
        <f>SUM(C4:C38)</f>
        <v>3560120</v>
      </c>
      <c r="D39" s="212"/>
      <c r="E39" s="212"/>
      <c r="F39" s="212"/>
      <c r="G39" s="212"/>
      <c r="H39" s="212">
        <f>SUM(H4:H38)</f>
        <v>29988</v>
      </c>
      <c r="I39" s="213">
        <f>((H39*27)/C39)</f>
        <v>0.22742941249171375</v>
      </c>
      <c r="J39" s="212"/>
      <c r="K39" s="212"/>
      <c r="L39" s="212"/>
      <c r="M39" s="212">
        <f>SUM(M4:M38)</f>
        <v>12264</v>
      </c>
      <c r="N39" s="214">
        <f>((M39*27)/C39)</f>
        <v>9.3010347965798906E-2</v>
      </c>
      <c r="O39" s="215">
        <f>M39/(M39+H39)</f>
        <v>0.29025844930417494</v>
      </c>
    </row>
    <row r="40" spans="2:15">
      <c r="B40" s="38"/>
      <c r="C40" s="35"/>
      <c r="D40" s="35"/>
      <c r="E40" s="35"/>
      <c r="F40" s="35"/>
      <c r="G40" s="35"/>
      <c r="H40" s="35"/>
      <c r="I40" s="36"/>
      <c r="J40" s="35"/>
      <c r="K40" s="35"/>
      <c r="L40" s="35"/>
      <c r="M40" s="35"/>
      <c r="N40" s="36"/>
      <c r="O40" s="37"/>
    </row>
  </sheetData>
  <mergeCells count="2">
    <mergeCell ref="J2:N2"/>
    <mergeCell ref="D2:I2"/>
  </mergeCells>
  <conditionalFormatting sqref="O4:O38">
    <cfRule type="colorScale" priority="9">
      <colorScale>
        <cfvo type="min"/>
        <cfvo type="percentile" val="50"/>
        <cfvo type="max"/>
        <color rgb="FFF8696B"/>
        <color rgb="FFFFEB84"/>
        <color rgb="FF63BE7B"/>
      </colorScale>
    </cfRule>
  </conditionalFormatting>
  <conditionalFormatting sqref="I4">
    <cfRule type="colorScale" priority="7">
      <colorScale>
        <cfvo type="min"/>
        <cfvo type="percentile" val="50"/>
        <cfvo type="max"/>
        <color rgb="FF63BE7B"/>
        <color rgb="FFFFEB84"/>
        <color rgb="FFF8696B"/>
      </colorScale>
    </cfRule>
  </conditionalFormatting>
  <conditionalFormatting sqref="N4">
    <cfRule type="colorScale" priority="6">
      <colorScale>
        <cfvo type="min"/>
        <cfvo type="percentile" val="50"/>
        <cfvo type="max"/>
        <color rgb="FF63BE7B"/>
        <color rgb="FFFFEB84"/>
        <color rgb="FFF8696B"/>
      </colorScale>
    </cfRule>
  </conditionalFormatting>
  <conditionalFormatting sqref="N5:N38">
    <cfRule type="colorScale" priority="5">
      <colorScale>
        <cfvo type="min"/>
        <cfvo type="percentile" val="50"/>
        <cfvo type="max"/>
        <color rgb="FF63BE7B"/>
        <color rgb="FFFFEB84"/>
        <color rgb="FFF8696B"/>
      </colorScale>
    </cfRule>
  </conditionalFormatting>
  <conditionalFormatting sqref="N4:N38">
    <cfRule type="colorScale" priority="1">
      <colorScale>
        <cfvo type="min"/>
        <cfvo type="percentile" val="50"/>
        <cfvo type="max"/>
        <color rgb="FFF8696B"/>
        <color rgb="FFFFEB84"/>
        <color rgb="FF63BE7B"/>
      </colorScale>
    </cfRule>
  </conditionalFormatting>
  <conditionalFormatting sqref="I5:I38">
    <cfRule type="colorScale" priority="3">
      <colorScale>
        <cfvo type="min"/>
        <cfvo type="percentile" val="50"/>
        <cfvo type="max"/>
        <color rgb="FF63BE7B"/>
        <color rgb="FFFFEB84"/>
        <color rgb="FFF8696B"/>
      </colorScale>
    </cfRule>
  </conditionalFormatting>
  <conditionalFormatting sqref="N5:N38">
    <cfRule type="colorScale" priority="2">
      <colorScale>
        <cfvo type="min"/>
        <cfvo type="percentile" val="50"/>
        <cfvo type="max"/>
        <color rgb="FF63BE7B"/>
        <color rgb="FFFFEB84"/>
        <color rgb="FFF8696B"/>
      </colorScale>
    </cfRule>
  </conditionalFormatting>
  <pageMargins left="0.7" right="0.7" top="0.75" bottom="0.75" header="0.3" footer="0.3"/>
  <pageSetup scale="76" orientation="landscape" horizontalDpi="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B5B9F-89E7-4246-A64E-D6824DDD432C}">
  <sheetPr>
    <pageSetUpPr fitToPage="1"/>
  </sheetPr>
  <dimension ref="B1:U39"/>
  <sheetViews>
    <sheetView topLeftCell="B1" zoomScale="75" workbookViewId="0">
      <selection activeCell="W46" sqref="W46"/>
    </sheetView>
  </sheetViews>
  <sheetFormatPr baseColWidth="10" defaultColWidth="11.5" defaultRowHeight="15"/>
  <cols>
    <col min="1" max="1" width="3.5" customWidth="1"/>
    <col min="2" max="2" width="40.5" customWidth="1"/>
    <col min="3" max="7" width="0" hidden="1" customWidth="1"/>
    <col min="8" max="13" width="13.33203125" customWidth="1"/>
    <col min="14" max="18" width="14.6640625" customWidth="1"/>
    <col min="19" max="19" width="14.6640625" bestFit="1" customWidth="1"/>
    <col min="20" max="21" width="14.6640625" customWidth="1"/>
  </cols>
  <sheetData>
    <row r="1" spans="2:21" ht="11" customHeight="1" thickBot="1"/>
    <row r="2" spans="2:21" ht="49" thickBot="1">
      <c r="B2" s="737" t="s">
        <v>254</v>
      </c>
      <c r="C2" s="737"/>
      <c r="D2" s="737"/>
      <c r="E2" s="737"/>
      <c r="F2" s="737"/>
      <c r="G2" s="737"/>
      <c r="H2" s="737"/>
      <c r="I2" s="737"/>
      <c r="J2" s="418"/>
      <c r="K2" s="418"/>
      <c r="L2" s="418"/>
      <c r="M2" s="418"/>
      <c r="N2" s="418"/>
      <c r="O2" s="418"/>
      <c r="P2" s="418"/>
      <c r="Q2" s="418"/>
      <c r="R2" s="418"/>
      <c r="S2" s="419" t="s">
        <v>264</v>
      </c>
      <c r="T2" s="625" t="s">
        <v>162</v>
      </c>
      <c r="U2" s="419"/>
    </row>
    <row r="3" spans="2:21" ht="22" thickBot="1">
      <c r="B3" s="420" t="s">
        <v>90</v>
      </c>
      <c r="C3" s="421">
        <v>2005</v>
      </c>
      <c r="D3" s="421">
        <f>C3+1</f>
        <v>2006</v>
      </c>
      <c r="E3" s="421">
        <f t="shared" ref="E3:U3" si="0">D3+1</f>
        <v>2007</v>
      </c>
      <c r="F3" s="421">
        <f t="shared" si="0"/>
        <v>2008</v>
      </c>
      <c r="G3" s="421">
        <f t="shared" si="0"/>
        <v>2009</v>
      </c>
      <c r="H3" s="421">
        <f t="shared" si="0"/>
        <v>2010</v>
      </c>
      <c r="I3" s="421">
        <f t="shared" si="0"/>
        <v>2011</v>
      </c>
      <c r="J3" s="421">
        <f t="shared" si="0"/>
        <v>2012</v>
      </c>
      <c r="K3" s="421">
        <f t="shared" si="0"/>
        <v>2013</v>
      </c>
      <c r="L3" s="421">
        <f t="shared" si="0"/>
        <v>2014</v>
      </c>
      <c r="M3" s="421">
        <f t="shared" si="0"/>
        <v>2015</v>
      </c>
      <c r="N3" s="421">
        <f t="shared" si="0"/>
        <v>2016</v>
      </c>
      <c r="O3" s="421">
        <f t="shared" si="0"/>
        <v>2017</v>
      </c>
      <c r="P3" s="421">
        <f t="shared" si="0"/>
        <v>2018</v>
      </c>
      <c r="Q3" s="421">
        <f t="shared" si="0"/>
        <v>2019</v>
      </c>
      <c r="R3" s="421">
        <f t="shared" si="0"/>
        <v>2020</v>
      </c>
      <c r="S3" s="421">
        <f t="shared" si="0"/>
        <v>2021</v>
      </c>
      <c r="T3" s="626">
        <f t="shared" si="0"/>
        <v>2022</v>
      </c>
      <c r="U3" s="421">
        <f t="shared" si="0"/>
        <v>2023</v>
      </c>
    </row>
    <row r="4" spans="2:21" ht="16">
      <c r="B4" s="297" t="s">
        <v>1</v>
      </c>
      <c r="C4" s="55"/>
      <c r="D4" s="55"/>
      <c r="E4" s="55"/>
      <c r="F4" s="55"/>
      <c r="G4" s="55"/>
      <c r="H4" s="55">
        <v>445</v>
      </c>
      <c r="I4" s="55">
        <v>596</v>
      </c>
      <c r="J4" s="55">
        <v>481</v>
      </c>
      <c r="K4" s="55">
        <v>656</v>
      </c>
      <c r="L4" s="55">
        <v>453</v>
      </c>
      <c r="M4" s="55">
        <v>515</v>
      </c>
      <c r="N4" s="55">
        <v>463</v>
      </c>
      <c r="O4" s="55">
        <v>443</v>
      </c>
      <c r="P4" s="55">
        <v>427</v>
      </c>
      <c r="Q4" s="55">
        <v>429</v>
      </c>
      <c r="R4" s="55">
        <v>403</v>
      </c>
      <c r="S4" s="55">
        <v>375</v>
      </c>
      <c r="T4" s="627">
        <v>445</v>
      </c>
      <c r="U4" s="312">
        <v>426</v>
      </c>
    </row>
    <row r="5" spans="2:21" ht="16">
      <c r="B5" s="188" t="s">
        <v>265</v>
      </c>
      <c r="C5" s="54"/>
      <c r="D5" s="54"/>
      <c r="E5" s="54"/>
      <c r="F5" s="54"/>
      <c r="G5" s="54"/>
      <c r="H5" s="54">
        <v>297</v>
      </c>
      <c r="I5" s="54">
        <v>317</v>
      </c>
      <c r="J5" s="54">
        <v>297</v>
      </c>
      <c r="K5" s="54">
        <v>296</v>
      </c>
      <c r="L5" s="54">
        <v>317</v>
      </c>
      <c r="M5" s="54">
        <v>301</v>
      </c>
      <c r="N5" s="54">
        <v>293</v>
      </c>
      <c r="O5" s="54">
        <v>300</v>
      </c>
      <c r="P5" s="54">
        <v>313</v>
      </c>
      <c r="Q5" s="54">
        <v>301</v>
      </c>
      <c r="R5" s="54">
        <v>295</v>
      </c>
      <c r="S5" s="54">
        <v>288</v>
      </c>
      <c r="T5" s="11">
        <v>323</v>
      </c>
      <c r="U5" s="3">
        <v>341</v>
      </c>
    </row>
    <row r="6" spans="2:21" ht="16">
      <c r="B6" s="188" t="s">
        <v>7</v>
      </c>
      <c r="C6" s="54"/>
      <c r="D6" s="54"/>
      <c r="E6" s="54"/>
      <c r="F6" s="54"/>
      <c r="G6" s="54"/>
      <c r="H6" s="54">
        <v>384</v>
      </c>
      <c r="I6" s="54">
        <v>387</v>
      </c>
      <c r="J6" s="54">
        <v>387</v>
      </c>
      <c r="K6" s="54">
        <v>377</v>
      </c>
      <c r="L6" s="54">
        <v>370</v>
      </c>
      <c r="M6" s="54">
        <v>389</v>
      </c>
      <c r="N6" s="54">
        <v>388</v>
      </c>
      <c r="O6" s="54">
        <v>402</v>
      </c>
      <c r="P6" s="54">
        <v>394</v>
      </c>
      <c r="Q6" s="54">
        <v>414</v>
      </c>
      <c r="R6" s="54">
        <v>434</v>
      </c>
      <c r="S6" s="54">
        <v>425</v>
      </c>
      <c r="T6" s="11">
        <v>372</v>
      </c>
      <c r="U6" s="3">
        <v>407</v>
      </c>
    </row>
    <row r="7" spans="2:21" ht="16">
      <c r="B7" s="188" t="s">
        <v>9</v>
      </c>
      <c r="C7" s="54"/>
      <c r="D7" s="54"/>
      <c r="E7" s="54"/>
      <c r="F7" s="54"/>
      <c r="G7" s="54"/>
      <c r="H7" s="54">
        <v>309</v>
      </c>
      <c r="I7" s="54">
        <v>297</v>
      </c>
      <c r="J7" s="54">
        <v>289</v>
      </c>
      <c r="K7" s="54">
        <v>294</v>
      </c>
      <c r="L7" s="54">
        <v>289</v>
      </c>
      <c r="M7" s="54">
        <v>326</v>
      </c>
      <c r="N7" s="54">
        <v>343</v>
      </c>
      <c r="O7" s="54">
        <v>336</v>
      </c>
      <c r="P7" s="54">
        <v>336</v>
      </c>
      <c r="Q7" s="54">
        <v>351</v>
      </c>
      <c r="R7" s="54">
        <v>357</v>
      </c>
      <c r="S7" s="54">
        <v>332</v>
      </c>
      <c r="T7" s="11">
        <v>295</v>
      </c>
      <c r="U7" s="3">
        <v>294</v>
      </c>
    </row>
    <row r="8" spans="2:21" ht="16">
      <c r="B8" s="188" t="s">
        <v>11</v>
      </c>
      <c r="C8" s="54"/>
      <c r="D8" s="54"/>
      <c r="E8" s="54"/>
      <c r="F8" s="54"/>
      <c r="G8" s="54"/>
      <c r="H8" s="54">
        <v>346</v>
      </c>
      <c r="I8" s="54">
        <v>386</v>
      </c>
      <c r="J8" s="54">
        <v>390</v>
      </c>
      <c r="K8" s="54">
        <v>391</v>
      </c>
      <c r="L8" s="54">
        <v>355</v>
      </c>
      <c r="M8" s="54">
        <v>360</v>
      </c>
      <c r="N8" s="54">
        <v>359</v>
      </c>
      <c r="O8" s="54">
        <v>361</v>
      </c>
      <c r="P8" s="54">
        <v>369</v>
      </c>
      <c r="Q8" s="54">
        <v>379</v>
      </c>
      <c r="R8" s="54">
        <v>409</v>
      </c>
      <c r="S8" s="54">
        <v>365</v>
      </c>
      <c r="T8" s="11">
        <v>341</v>
      </c>
      <c r="U8" s="3">
        <v>335</v>
      </c>
    </row>
    <row r="9" spans="2:21" ht="16">
      <c r="B9" s="188" t="s">
        <v>13</v>
      </c>
      <c r="C9" s="54"/>
      <c r="D9" s="54"/>
      <c r="E9" s="54"/>
      <c r="F9" s="54"/>
      <c r="G9" s="54"/>
      <c r="H9" s="54">
        <v>315</v>
      </c>
      <c r="I9" s="54">
        <v>369</v>
      </c>
      <c r="J9" s="54">
        <v>378</v>
      </c>
      <c r="K9" s="54">
        <v>352</v>
      </c>
      <c r="L9" s="54">
        <v>328</v>
      </c>
      <c r="M9" s="54">
        <v>311</v>
      </c>
      <c r="N9" s="54">
        <v>302</v>
      </c>
      <c r="O9" s="54">
        <v>311</v>
      </c>
      <c r="P9" s="54">
        <v>306</v>
      </c>
      <c r="Q9" s="54">
        <v>295</v>
      </c>
      <c r="R9" s="54">
        <v>288</v>
      </c>
      <c r="S9" s="54">
        <v>262</v>
      </c>
      <c r="T9" s="11">
        <v>261</v>
      </c>
      <c r="U9" s="3">
        <v>229</v>
      </c>
    </row>
    <row r="10" spans="2:21" ht="16">
      <c r="B10" s="188" t="s">
        <v>15</v>
      </c>
      <c r="C10" s="54"/>
      <c r="D10" s="54"/>
      <c r="E10" s="54"/>
      <c r="F10" s="54"/>
      <c r="G10" s="54"/>
      <c r="H10" s="54">
        <v>423</v>
      </c>
      <c r="I10" s="54">
        <v>428</v>
      </c>
      <c r="J10" s="54">
        <v>418</v>
      </c>
      <c r="K10" s="54">
        <v>413</v>
      </c>
      <c r="L10" s="54">
        <v>414</v>
      </c>
      <c r="M10" s="54">
        <v>448</v>
      </c>
      <c r="N10" s="54">
        <v>470</v>
      </c>
      <c r="O10" s="54">
        <v>468</v>
      </c>
      <c r="P10" s="54">
        <v>521</v>
      </c>
      <c r="Q10" s="54">
        <v>535</v>
      </c>
      <c r="R10" s="54">
        <v>512</v>
      </c>
      <c r="S10" s="54">
        <v>468</v>
      </c>
      <c r="T10" s="11">
        <v>446</v>
      </c>
      <c r="U10" s="3">
        <v>497</v>
      </c>
    </row>
    <row r="11" spans="2:21" ht="16">
      <c r="B11" s="188" t="s">
        <v>17</v>
      </c>
      <c r="C11" s="54"/>
      <c r="D11" s="54"/>
      <c r="E11" s="54"/>
      <c r="F11" s="54"/>
      <c r="G11" s="54"/>
      <c r="H11" s="54">
        <v>333</v>
      </c>
      <c r="I11" s="54">
        <v>363</v>
      </c>
      <c r="J11" s="54">
        <v>398</v>
      </c>
      <c r="K11" s="54">
        <v>386</v>
      </c>
      <c r="L11" s="54">
        <v>395</v>
      </c>
      <c r="M11" s="54">
        <v>394</v>
      </c>
      <c r="N11" s="54">
        <v>419</v>
      </c>
      <c r="O11" s="54">
        <v>434</v>
      </c>
      <c r="P11" s="54">
        <v>420</v>
      </c>
      <c r="Q11" s="54">
        <v>435</v>
      </c>
      <c r="R11" s="54">
        <v>471</v>
      </c>
      <c r="S11" s="54">
        <v>443</v>
      </c>
      <c r="T11" s="11">
        <v>480</v>
      </c>
      <c r="U11" s="3">
        <v>431</v>
      </c>
    </row>
    <row r="12" spans="2:21" ht="16">
      <c r="B12" s="188" t="s">
        <v>19</v>
      </c>
      <c r="C12" s="54"/>
      <c r="D12" s="54"/>
      <c r="E12" s="54"/>
      <c r="F12" s="54"/>
      <c r="G12" s="54"/>
      <c r="H12" s="54">
        <v>379</v>
      </c>
      <c r="I12" s="54">
        <v>372</v>
      </c>
      <c r="J12" s="54">
        <v>370</v>
      </c>
      <c r="K12" s="54">
        <v>365</v>
      </c>
      <c r="L12" s="54">
        <v>363</v>
      </c>
      <c r="M12" s="54">
        <v>354</v>
      </c>
      <c r="N12" s="54">
        <v>339</v>
      </c>
      <c r="O12" s="54">
        <v>344</v>
      </c>
      <c r="P12" s="54">
        <v>345</v>
      </c>
      <c r="Q12" s="54">
        <v>317</v>
      </c>
      <c r="R12" s="54">
        <v>330</v>
      </c>
      <c r="S12" s="54">
        <v>317</v>
      </c>
      <c r="T12" s="11">
        <v>296</v>
      </c>
      <c r="U12" s="3">
        <v>319</v>
      </c>
    </row>
    <row r="13" spans="2:21" ht="16">
      <c r="B13" s="188" t="s">
        <v>21</v>
      </c>
      <c r="C13" s="54"/>
      <c r="D13" s="54"/>
      <c r="E13" s="54"/>
      <c r="F13" s="54"/>
      <c r="G13" s="54"/>
      <c r="H13" s="410" t="s">
        <v>253</v>
      </c>
      <c r="I13" s="410" t="s">
        <v>253</v>
      </c>
      <c r="J13" s="410" t="s">
        <v>253</v>
      </c>
      <c r="K13" s="410" t="s">
        <v>253</v>
      </c>
      <c r="L13" s="410" t="s">
        <v>253</v>
      </c>
      <c r="M13" s="410" t="s">
        <v>253</v>
      </c>
      <c r="N13" s="410" t="s">
        <v>253</v>
      </c>
      <c r="O13" s="410" t="s">
        <v>253</v>
      </c>
      <c r="P13" s="410" t="s">
        <v>253</v>
      </c>
      <c r="Q13" s="410" t="s">
        <v>253</v>
      </c>
      <c r="R13" s="410" t="s">
        <v>253</v>
      </c>
      <c r="S13" s="410" t="s">
        <v>253</v>
      </c>
      <c r="T13" s="628" t="s">
        <v>253</v>
      </c>
      <c r="U13" s="414" t="s">
        <v>253</v>
      </c>
    </row>
    <row r="14" spans="2:21" ht="16">
      <c r="B14" s="188" t="s">
        <v>23</v>
      </c>
      <c r="C14" s="54"/>
      <c r="D14" s="54"/>
      <c r="E14" s="54"/>
      <c r="F14" s="54"/>
      <c r="G14" s="54"/>
      <c r="H14" s="54">
        <v>335</v>
      </c>
      <c r="I14" s="54">
        <v>359</v>
      </c>
      <c r="J14" s="54">
        <v>366</v>
      </c>
      <c r="K14" s="54">
        <v>349</v>
      </c>
      <c r="L14" s="54">
        <v>338</v>
      </c>
      <c r="M14" s="54">
        <v>331</v>
      </c>
      <c r="N14" s="54">
        <v>318</v>
      </c>
      <c r="O14" s="54">
        <v>356</v>
      </c>
      <c r="P14" s="54">
        <v>351</v>
      </c>
      <c r="Q14" s="54">
        <v>383</v>
      </c>
      <c r="R14" s="54">
        <v>389</v>
      </c>
      <c r="S14" s="54">
        <v>340</v>
      </c>
      <c r="T14" s="11">
        <v>390</v>
      </c>
      <c r="U14" s="3">
        <v>374</v>
      </c>
    </row>
    <row r="15" spans="2:21" ht="16">
      <c r="B15" s="188" t="s">
        <v>25</v>
      </c>
      <c r="C15" s="54"/>
      <c r="D15" s="54"/>
      <c r="E15" s="54"/>
      <c r="F15" s="54"/>
      <c r="G15" s="54"/>
      <c r="H15" s="54">
        <v>416</v>
      </c>
      <c r="I15" s="54">
        <v>416</v>
      </c>
      <c r="J15" s="54">
        <v>421</v>
      </c>
      <c r="K15" s="54">
        <v>419</v>
      </c>
      <c r="L15" s="54">
        <v>399</v>
      </c>
      <c r="M15" s="54">
        <v>408</v>
      </c>
      <c r="N15" s="54">
        <v>367</v>
      </c>
      <c r="O15" s="54">
        <v>333</v>
      </c>
      <c r="P15" s="54">
        <v>336</v>
      </c>
      <c r="Q15" s="54">
        <v>342</v>
      </c>
      <c r="R15" s="54">
        <v>363</v>
      </c>
      <c r="S15" s="54">
        <v>354</v>
      </c>
      <c r="T15" s="11">
        <v>336</v>
      </c>
      <c r="U15" s="3">
        <v>368</v>
      </c>
    </row>
    <row r="16" spans="2:21" ht="16">
      <c r="B16" s="188" t="s">
        <v>27</v>
      </c>
      <c r="C16" s="54"/>
      <c r="D16" s="54"/>
      <c r="E16" s="54"/>
      <c r="F16" s="54"/>
      <c r="G16" s="54"/>
      <c r="H16" s="54">
        <v>415</v>
      </c>
      <c r="I16" s="54">
        <v>408</v>
      </c>
      <c r="J16" s="54">
        <v>412</v>
      </c>
      <c r="K16" s="54">
        <v>446</v>
      </c>
      <c r="L16" s="54">
        <v>444</v>
      </c>
      <c r="M16" s="54">
        <v>441</v>
      </c>
      <c r="N16" s="54">
        <v>483</v>
      </c>
      <c r="O16" s="54">
        <v>494</v>
      </c>
      <c r="P16" s="54">
        <v>504</v>
      </c>
      <c r="Q16" s="54">
        <v>523</v>
      </c>
      <c r="R16" s="54">
        <v>522</v>
      </c>
      <c r="S16" s="54">
        <v>488</v>
      </c>
      <c r="T16" s="11">
        <v>501</v>
      </c>
      <c r="U16" s="3">
        <v>520</v>
      </c>
    </row>
    <row r="17" spans="2:21" ht="16">
      <c r="B17" s="188" t="s">
        <v>29</v>
      </c>
      <c r="C17" s="54"/>
      <c r="D17" s="54"/>
      <c r="E17" s="54"/>
      <c r="F17" s="54"/>
      <c r="G17" s="54"/>
      <c r="H17" s="54">
        <v>308</v>
      </c>
      <c r="I17" s="54">
        <v>336</v>
      </c>
      <c r="J17" s="54">
        <v>349</v>
      </c>
      <c r="K17" s="54">
        <v>332</v>
      </c>
      <c r="L17" s="54">
        <v>355</v>
      </c>
      <c r="M17" s="54">
        <v>339</v>
      </c>
      <c r="N17" s="54">
        <v>308</v>
      </c>
      <c r="O17" s="54">
        <v>307</v>
      </c>
      <c r="P17" s="54">
        <v>301</v>
      </c>
      <c r="Q17" s="54">
        <v>302</v>
      </c>
      <c r="R17" s="54">
        <v>295</v>
      </c>
      <c r="S17" s="54">
        <v>265</v>
      </c>
      <c r="T17" s="11">
        <v>267</v>
      </c>
      <c r="U17" s="3">
        <v>268</v>
      </c>
    </row>
    <row r="18" spans="2:21" ht="16">
      <c r="B18" s="188" t="s">
        <v>31</v>
      </c>
      <c r="C18" s="54"/>
      <c r="D18" s="54"/>
      <c r="E18" s="54"/>
      <c r="F18" s="54"/>
      <c r="G18" s="54"/>
      <c r="H18" s="54">
        <v>467</v>
      </c>
      <c r="I18" s="54">
        <v>421</v>
      </c>
      <c r="J18" s="54">
        <v>415</v>
      </c>
      <c r="K18" s="54">
        <v>453</v>
      </c>
      <c r="L18" s="54">
        <v>433</v>
      </c>
      <c r="M18" s="54">
        <v>477</v>
      </c>
      <c r="N18" s="54">
        <v>475</v>
      </c>
      <c r="O18" s="54">
        <v>501</v>
      </c>
      <c r="P18" s="54">
        <v>506</v>
      </c>
      <c r="Q18" s="54">
        <v>524</v>
      </c>
      <c r="R18" s="54">
        <v>532</v>
      </c>
      <c r="S18" s="54">
        <v>494</v>
      </c>
      <c r="T18" s="11">
        <v>466</v>
      </c>
      <c r="U18" s="3">
        <v>440</v>
      </c>
    </row>
    <row r="19" spans="2:21" ht="16">
      <c r="B19" s="188" t="s">
        <v>33</v>
      </c>
      <c r="C19" s="54"/>
      <c r="D19" s="54"/>
      <c r="E19" s="54"/>
      <c r="F19" s="54"/>
      <c r="G19" s="54"/>
      <c r="H19" s="54">
        <v>346</v>
      </c>
      <c r="I19" s="54">
        <v>347</v>
      </c>
      <c r="J19" s="54">
        <v>356</v>
      </c>
      <c r="K19" s="54">
        <v>334</v>
      </c>
      <c r="L19" s="54">
        <v>348</v>
      </c>
      <c r="M19" s="54">
        <v>336</v>
      </c>
      <c r="N19" s="54">
        <v>318</v>
      </c>
      <c r="O19" s="54">
        <v>329</v>
      </c>
      <c r="P19" s="54">
        <v>319</v>
      </c>
      <c r="Q19" s="54">
        <v>335</v>
      </c>
      <c r="R19" s="54">
        <v>365</v>
      </c>
      <c r="S19" s="54">
        <v>337</v>
      </c>
      <c r="T19" s="11">
        <v>357</v>
      </c>
      <c r="U19" s="3">
        <v>374</v>
      </c>
    </row>
    <row r="20" spans="2:21" ht="16">
      <c r="B20" s="188" t="s">
        <v>74</v>
      </c>
      <c r="C20" s="54"/>
      <c r="D20" s="54"/>
      <c r="E20" s="54"/>
      <c r="F20" s="54"/>
      <c r="G20" s="54"/>
      <c r="H20" s="54">
        <v>487</v>
      </c>
      <c r="I20" s="54">
        <v>501</v>
      </c>
      <c r="J20" s="54">
        <v>501</v>
      </c>
      <c r="K20" s="54">
        <v>512</v>
      </c>
      <c r="L20" s="54">
        <v>513</v>
      </c>
      <c r="M20" s="54">
        <v>500</v>
      </c>
      <c r="N20" s="54">
        <v>540</v>
      </c>
      <c r="O20" s="54">
        <v>528</v>
      </c>
      <c r="P20" s="54">
        <v>518</v>
      </c>
      <c r="Q20" s="54">
        <v>521</v>
      </c>
      <c r="R20" s="54">
        <v>521</v>
      </c>
      <c r="S20" s="54">
        <v>535</v>
      </c>
      <c r="T20" s="11">
        <v>513</v>
      </c>
      <c r="U20" s="3">
        <v>519</v>
      </c>
    </row>
    <row r="21" spans="2:21" ht="16">
      <c r="B21" s="188" t="s">
        <v>36</v>
      </c>
      <c r="C21" s="54"/>
      <c r="D21" s="54"/>
      <c r="E21" s="54"/>
      <c r="F21" s="54"/>
      <c r="G21" s="54"/>
      <c r="H21" s="54">
        <v>278</v>
      </c>
      <c r="I21" s="54">
        <v>260</v>
      </c>
      <c r="J21" s="54">
        <v>285</v>
      </c>
      <c r="K21" s="54">
        <v>279</v>
      </c>
      <c r="L21" s="54">
        <v>276</v>
      </c>
      <c r="M21" s="54">
        <v>275</v>
      </c>
      <c r="N21" s="54">
        <v>317</v>
      </c>
      <c r="O21" s="54">
        <v>363</v>
      </c>
      <c r="P21" s="54">
        <v>402</v>
      </c>
      <c r="Q21" s="54">
        <v>425</v>
      </c>
      <c r="R21" s="54">
        <v>397</v>
      </c>
      <c r="S21" s="54">
        <v>435</v>
      </c>
      <c r="T21" s="11">
        <v>469</v>
      </c>
      <c r="U21" s="3">
        <v>416</v>
      </c>
    </row>
    <row r="22" spans="2:21" ht="16">
      <c r="B22" s="188" t="s">
        <v>67</v>
      </c>
      <c r="C22" s="54"/>
      <c r="D22" s="54"/>
      <c r="E22" s="54"/>
      <c r="F22" s="54"/>
      <c r="G22" s="54"/>
      <c r="H22" s="54">
        <v>275</v>
      </c>
      <c r="I22" s="54">
        <v>259</v>
      </c>
      <c r="J22" s="54">
        <v>232</v>
      </c>
      <c r="K22" s="54">
        <v>218</v>
      </c>
      <c r="L22" s="54">
        <v>189</v>
      </c>
      <c r="M22" s="54">
        <v>403</v>
      </c>
      <c r="N22" s="54">
        <v>527</v>
      </c>
      <c r="O22" s="54">
        <v>599</v>
      </c>
      <c r="P22" s="54">
        <v>606</v>
      </c>
      <c r="Q22" s="54">
        <v>631</v>
      </c>
      <c r="R22" s="54">
        <v>634</v>
      </c>
      <c r="S22" s="54">
        <v>630</v>
      </c>
      <c r="T22" s="11">
        <v>591</v>
      </c>
      <c r="U22" s="3">
        <v>621</v>
      </c>
    </row>
    <row r="23" spans="2:21" ht="16">
      <c r="B23" s="188" t="s">
        <v>39</v>
      </c>
      <c r="C23" s="54"/>
      <c r="D23" s="54"/>
      <c r="E23" s="54"/>
      <c r="F23" s="54"/>
      <c r="G23" s="54"/>
      <c r="H23" s="54">
        <v>312</v>
      </c>
      <c r="I23" s="54">
        <v>322</v>
      </c>
      <c r="J23" s="54">
        <v>329</v>
      </c>
      <c r="K23" s="54">
        <v>330</v>
      </c>
      <c r="L23" s="54">
        <v>340</v>
      </c>
      <c r="M23" s="54">
        <v>334</v>
      </c>
      <c r="N23" s="54">
        <v>285</v>
      </c>
      <c r="O23" s="54">
        <v>298</v>
      </c>
      <c r="P23" s="54">
        <v>302</v>
      </c>
      <c r="Q23" s="54">
        <v>276</v>
      </c>
      <c r="R23" s="54">
        <v>253</v>
      </c>
      <c r="S23" s="54">
        <v>232</v>
      </c>
      <c r="T23" s="11">
        <v>220</v>
      </c>
      <c r="U23" s="3">
        <v>228</v>
      </c>
    </row>
    <row r="24" spans="2:21" ht="16">
      <c r="B24" s="188" t="s">
        <v>41</v>
      </c>
      <c r="C24" s="54"/>
      <c r="D24" s="54"/>
      <c r="E24" s="54"/>
      <c r="F24" s="54"/>
      <c r="G24" s="54"/>
      <c r="H24" s="54">
        <v>227</v>
      </c>
      <c r="I24" s="54">
        <v>252</v>
      </c>
      <c r="J24" s="54">
        <v>257</v>
      </c>
      <c r="K24" s="54">
        <v>246</v>
      </c>
      <c r="L24" s="54">
        <v>239</v>
      </c>
      <c r="M24" s="54">
        <v>248</v>
      </c>
      <c r="N24" s="54">
        <v>244</v>
      </c>
      <c r="O24" s="54">
        <v>254</v>
      </c>
      <c r="P24" s="54">
        <v>255</v>
      </c>
      <c r="Q24" s="54">
        <v>275</v>
      </c>
      <c r="R24" s="54">
        <v>274</v>
      </c>
      <c r="S24" s="54">
        <v>256</v>
      </c>
      <c r="T24" s="11">
        <v>250</v>
      </c>
      <c r="U24" s="3">
        <v>241</v>
      </c>
    </row>
    <row r="25" spans="2:21" ht="16">
      <c r="B25" s="188" t="s">
        <v>44</v>
      </c>
      <c r="C25" s="54"/>
      <c r="D25" s="54"/>
      <c r="E25" s="54"/>
      <c r="F25" s="54"/>
      <c r="G25" s="54"/>
      <c r="H25" s="54">
        <v>432</v>
      </c>
      <c r="I25" s="54">
        <v>418</v>
      </c>
      <c r="J25" s="54">
        <v>386</v>
      </c>
      <c r="K25" s="54">
        <v>424</v>
      </c>
      <c r="L25" s="54">
        <v>428</v>
      </c>
      <c r="M25" s="54">
        <v>417</v>
      </c>
      <c r="N25" s="54">
        <v>461</v>
      </c>
      <c r="O25" s="54">
        <v>445</v>
      </c>
      <c r="P25" s="54">
        <v>493</v>
      </c>
      <c r="Q25" s="54">
        <v>511</v>
      </c>
      <c r="R25" s="54">
        <v>498</v>
      </c>
      <c r="S25" s="54">
        <v>477</v>
      </c>
      <c r="T25" s="11">
        <v>459</v>
      </c>
      <c r="U25" s="3">
        <v>500</v>
      </c>
    </row>
    <row r="26" spans="2:21" ht="16">
      <c r="B26" s="188" t="s">
        <v>46</v>
      </c>
      <c r="C26" s="54"/>
      <c r="D26" s="54"/>
      <c r="E26" s="54"/>
      <c r="F26" s="54"/>
      <c r="G26" s="54"/>
      <c r="H26" s="738" t="s">
        <v>97</v>
      </c>
      <c r="I26" s="738"/>
      <c r="J26" s="738"/>
      <c r="K26" s="410"/>
      <c r="L26" s="410"/>
      <c r="M26" s="410"/>
      <c r="N26" s="410"/>
      <c r="O26" s="410"/>
      <c r="P26" s="410"/>
      <c r="Q26" s="410"/>
      <c r="R26" s="410"/>
      <c r="S26" s="410"/>
      <c r="T26" s="628"/>
      <c r="U26" s="414"/>
    </row>
    <row r="27" spans="2:21" ht="16">
      <c r="B27" s="188" t="s">
        <v>49</v>
      </c>
      <c r="C27" s="54"/>
      <c r="D27" s="54"/>
      <c r="E27" s="54"/>
      <c r="F27" s="54"/>
      <c r="G27" s="54"/>
      <c r="H27" s="54">
        <v>727</v>
      </c>
      <c r="I27" s="54">
        <v>720</v>
      </c>
      <c r="J27" s="54">
        <v>756</v>
      </c>
      <c r="K27" s="54">
        <v>739</v>
      </c>
      <c r="L27" s="54">
        <v>709</v>
      </c>
      <c r="M27" s="54">
        <v>674</v>
      </c>
      <c r="N27" s="54">
        <v>644</v>
      </c>
      <c r="O27" s="54">
        <v>688</v>
      </c>
      <c r="P27" s="54">
        <v>657</v>
      </c>
      <c r="Q27" s="54">
        <v>671</v>
      </c>
      <c r="R27" s="54">
        <v>674</v>
      </c>
      <c r="S27" s="54">
        <v>708</v>
      </c>
      <c r="T27" s="11">
        <v>692</v>
      </c>
      <c r="U27" s="3">
        <v>684</v>
      </c>
    </row>
    <row r="28" spans="2:21" ht="16">
      <c r="B28" s="188" t="s">
        <v>51</v>
      </c>
      <c r="C28" s="54"/>
      <c r="D28" s="54"/>
      <c r="E28" s="54"/>
      <c r="F28" s="54"/>
      <c r="G28" s="54"/>
      <c r="H28" s="54">
        <v>1043</v>
      </c>
      <c r="I28" s="54">
        <v>1071</v>
      </c>
      <c r="J28" s="54">
        <v>1108</v>
      </c>
      <c r="K28" s="54">
        <v>1089</v>
      </c>
      <c r="L28" s="54">
        <v>1125</v>
      </c>
      <c r="M28" s="54">
        <v>1109</v>
      </c>
      <c r="N28" s="54">
        <v>1124</v>
      </c>
      <c r="O28" s="54">
        <v>1123</v>
      </c>
      <c r="P28" s="54">
        <v>1140</v>
      </c>
      <c r="Q28" s="54">
        <v>1141</v>
      </c>
      <c r="R28" s="54">
        <v>1127</v>
      </c>
      <c r="S28" s="54">
        <v>1026</v>
      </c>
      <c r="T28" s="11">
        <v>967</v>
      </c>
      <c r="U28" s="3">
        <v>1047</v>
      </c>
    </row>
    <row r="29" spans="2:21" ht="16">
      <c r="B29" s="188" t="s">
        <v>53</v>
      </c>
      <c r="C29" s="54"/>
      <c r="D29" s="54"/>
      <c r="E29" s="54"/>
      <c r="F29" s="54"/>
      <c r="G29" s="54"/>
      <c r="H29" s="54">
        <v>538</v>
      </c>
      <c r="I29" s="54">
        <v>573</v>
      </c>
      <c r="J29" s="54">
        <v>515</v>
      </c>
      <c r="K29" s="54">
        <v>505</v>
      </c>
      <c r="L29" s="54">
        <v>488</v>
      </c>
      <c r="M29" s="54">
        <v>558</v>
      </c>
      <c r="N29" s="54">
        <v>581</v>
      </c>
      <c r="O29" s="54">
        <v>577</v>
      </c>
      <c r="P29" s="54">
        <v>620</v>
      </c>
      <c r="Q29" s="54">
        <v>626</v>
      </c>
      <c r="R29" s="54">
        <v>634</v>
      </c>
      <c r="S29" s="54">
        <v>598</v>
      </c>
      <c r="T29" s="11">
        <v>606</v>
      </c>
      <c r="U29" s="3">
        <v>642</v>
      </c>
    </row>
    <row r="30" spans="2:21" ht="16">
      <c r="B30" s="188" t="s">
        <v>55</v>
      </c>
      <c r="C30" s="54"/>
      <c r="D30" s="54"/>
      <c r="E30" s="54"/>
      <c r="F30" s="54"/>
      <c r="G30" s="54"/>
      <c r="H30" s="54">
        <v>718</v>
      </c>
      <c r="I30" s="54">
        <v>731</v>
      </c>
      <c r="J30" s="54">
        <v>755</v>
      </c>
      <c r="K30" s="54">
        <v>762</v>
      </c>
      <c r="L30" s="54">
        <v>769</v>
      </c>
      <c r="M30" s="54">
        <v>768</v>
      </c>
      <c r="N30" s="54">
        <v>777</v>
      </c>
      <c r="O30" s="54">
        <v>798</v>
      </c>
      <c r="P30" s="54">
        <v>776</v>
      </c>
      <c r="Q30" s="54">
        <v>719</v>
      </c>
      <c r="R30" s="54">
        <v>695</v>
      </c>
      <c r="S30" s="54">
        <v>696</v>
      </c>
      <c r="T30" s="11">
        <v>702</v>
      </c>
      <c r="U30" s="3">
        <v>738</v>
      </c>
    </row>
    <row r="31" spans="2:21" ht="16">
      <c r="B31" s="188" t="s">
        <v>57</v>
      </c>
      <c r="C31" s="54"/>
      <c r="D31" s="54"/>
      <c r="E31" s="54"/>
      <c r="F31" s="54"/>
      <c r="G31" s="54"/>
      <c r="H31" s="54">
        <v>721</v>
      </c>
      <c r="I31" s="54">
        <v>723</v>
      </c>
      <c r="J31" s="54">
        <v>733</v>
      </c>
      <c r="K31" s="54">
        <v>757</v>
      </c>
      <c r="L31" s="54">
        <v>737</v>
      </c>
      <c r="M31" s="54">
        <v>738</v>
      </c>
      <c r="N31" s="54">
        <v>755</v>
      </c>
      <c r="O31" s="54">
        <v>773</v>
      </c>
      <c r="P31" s="54">
        <v>774</v>
      </c>
      <c r="Q31" s="54">
        <v>770</v>
      </c>
      <c r="R31" s="54">
        <v>746</v>
      </c>
      <c r="S31" s="54">
        <v>745</v>
      </c>
      <c r="T31" s="11">
        <v>671</v>
      </c>
      <c r="U31" s="3">
        <v>670</v>
      </c>
    </row>
    <row r="32" spans="2:21" ht="16">
      <c r="B32" s="188" t="s">
        <v>68</v>
      </c>
      <c r="C32" s="54"/>
      <c r="D32" s="54"/>
      <c r="E32" s="54"/>
      <c r="F32" s="54"/>
      <c r="G32" s="54"/>
      <c r="H32" s="54">
        <v>133</v>
      </c>
      <c r="I32" s="54">
        <v>132</v>
      </c>
      <c r="J32" s="54">
        <v>127</v>
      </c>
      <c r="K32" s="54">
        <v>117</v>
      </c>
      <c r="L32" s="54">
        <v>106</v>
      </c>
      <c r="M32" s="54">
        <v>203</v>
      </c>
      <c r="N32" s="54">
        <v>175</v>
      </c>
      <c r="O32" s="54">
        <v>155</v>
      </c>
      <c r="P32" s="54">
        <v>142</v>
      </c>
      <c r="Q32" s="54">
        <v>95</v>
      </c>
      <c r="R32" s="54">
        <v>188</v>
      </c>
      <c r="S32" s="54">
        <v>183</v>
      </c>
      <c r="T32" s="11">
        <v>226</v>
      </c>
      <c r="U32" s="3">
        <v>203</v>
      </c>
    </row>
    <row r="33" spans="2:21" ht="16">
      <c r="B33" s="188" t="s">
        <v>59</v>
      </c>
      <c r="C33" s="54"/>
      <c r="D33" s="54"/>
      <c r="E33" s="54"/>
      <c r="F33" s="54"/>
      <c r="G33" s="54"/>
      <c r="H33" s="54">
        <v>1779</v>
      </c>
      <c r="I33" s="54">
        <v>1628</v>
      </c>
      <c r="J33" s="54">
        <v>1604</v>
      </c>
      <c r="K33" s="54">
        <v>1611</v>
      </c>
      <c r="L33" s="54">
        <v>1515</v>
      </c>
      <c r="M33" s="54">
        <v>1506</v>
      </c>
      <c r="N33" s="54">
        <v>1498</v>
      </c>
      <c r="O33" s="54">
        <v>1538</v>
      </c>
      <c r="P33" s="54">
        <v>1627</v>
      </c>
      <c r="Q33" s="54">
        <v>1720</v>
      </c>
      <c r="R33" s="54">
        <v>1633</v>
      </c>
      <c r="S33" s="54">
        <v>1617</v>
      </c>
      <c r="T33" s="11">
        <v>1630</v>
      </c>
      <c r="U33" s="3">
        <v>1749</v>
      </c>
    </row>
    <row r="34" spans="2:21" ht="16">
      <c r="B34" s="188" t="s">
        <v>61</v>
      </c>
      <c r="C34" s="54"/>
      <c r="D34" s="54"/>
      <c r="E34" s="54"/>
      <c r="F34" s="54"/>
      <c r="G34" s="54"/>
      <c r="H34" s="54">
        <v>2269</v>
      </c>
      <c r="I34" s="54">
        <v>1910</v>
      </c>
      <c r="J34" s="54">
        <v>1620</v>
      </c>
      <c r="K34" s="54">
        <v>1651</v>
      </c>
      <c r="L34" s="54">
        <v>1627</v>
      </c>
      <c r="M34" s="54">
        <v>1673</v>
      </c>
      <c r="N34" s="54">
        <v>1749</v>
      </c>
      <c r="O34" s="54">
        <v>1775</v>
      </c>
      <c r="P34" s="54">
        <v>1822</v>
      </c>
      <c r="Q34" s="54">
        <v>1960</v>
      </c>
      <c r="R34" s="54">
        <v>1948</v>
      </c>
      <c r="S34" s="54">
        <v>1947</v>
      </c>
      <c r="T34" s="11">
        <v>1881</v>
      </c>
      <c r="U34" s="3">
        <v>1710</v>
      </c>
    </row>
    <row r="35" spans="2:21" ht="16">
      <c r="B35" s="188" t="s">
        <v>63</v>
      </c>
      <c r="C35" s="54"/>
      <c r="D35" s="54"/>
      <c r="E35" s="54"/>
      <c r="F35" s="54"/>
      <c r="G35" s="54"/>
      <c r="H35" s="54">
        <v>481</v>
      </c>
      <c r="I35" s="54">
        <v>489</v>
      </c>
      <c r="J35" s="54">
        <v>477</v>
      </c>
      <c r="K35" s="54">
        <v>473</v>
      </c>
      <c r="L35" s="54">
        <v>486</v>
      </c>
      <c r="M35" s="54">
        <v>477</v>
      </c>
      <c r="N35" s="54">
        <v>534</v>
      </c>
      <c r="O35" s="54">
        <v>536</v>
      </c>
      <c r="P35" s="54">
        <v>532</v>
      </c>
      <c r="Q35" s="54">
        <v>530</v>
      </c>
      <c r="R35" s="54">
        <v>533</v>
      </c>
      <c r="S35" s="54">
        <v>524</v>
      </c>
      <c r="T35" s="11">
        <v>518</v>
      </c>
      <c r="U35" s="3">
        <v>496</v>
      </c>
    </row>
    <row r="36" spans="2:21" ht="16">
      <c r="B36" s="188" t="s">
        <v>65</v>
      </c>
      <c r="C36" s="54"/>
      <c r="D36" s="54"/>
      <c r="E36" s="54"/>
      <c r="F36" s="54"/>
      <c r="G36" s="54"/>
      <c r="H36" s="54">
        <v>868</v>
      </c>
      <c r="I36" s="54">
        <v>1228</v>
      </c>
      <c r="J36" s="54">
        <v>1523</v>
      </c>
      <c r="K36" s="54">
        <v>1501</v>
      </c>
      <c r="L36" s="54">
        <v>1460</v>
      </c>
      <c r="M36" s="54">
        <v>1453</v>
      </c>
      <c r="N36" s="54">
        <v>1467</v>
      </c>
      <c r="O36" s="54">
        <v>1498</v>
      </c>
      <c r="P36" s="54">
        <v>1481</v>
      </c>
      <c r="Q36" s="54">
        <v>1452</v>
      </c>
      <c r="R36" s="54">
        <v>1395</v>
      </c>
      <c r="S36" s="54">
        <v>1386</v>
      </c>
      <c r="T36" s="11">
        <v>1324</v>
      </c>
      <c r="U36" s="3">
        <v>1308</v>
      </c>
    </row>
    <row r="37" spans="2:21" ht="16">
      <c r="B37" s="188" t="s">
        <v>5</v>
      </c>
      <c r="C37" s="54"/>
      <c r="D37" s="54"/>
      <c r="E37" s="54"/>
      <c r="F37" s="54"/>
      <c r="G37" s="54"/>
      <c r="H37" s="410" t="s">
        <v>253</v>
      </c>
      <c r="I37" s="410" t="s">
        <v>253</v>
      </c>
      <c r="J37" s="410" t="s">
        <v>253</v>
      </c>
      <c r="K37" s="410" t="s">
        <v>253</v>
      </c>
      <c r="L37" s="410" t="s">
        <v>253</v>
      </c>
      <c r="M37" s="410" t="s">
        <v>253</v>
      </c>
      <c r="N37" s="410" t="s">
        <v>253</v>
      </c>
      <c r="O37" s="410" t="s">
        <v>253</v>
      </c>
      <c r="P37" s="410" t="s">
        <v>253</v>
      </c>
      <c r="Q37" s="410" t="s">
        <v>253</v>
      </c>
      <c r="R37" s="410" t="s">
        <v>253</v>
      </c>
      <c r="S37" s="410" t="s">
        <v>253</v>
      </c>
      <c r="T37" s="628" t="s">
        <v>253</v>
      </c>
      <c r="U37" s="414" t="s">
        <v>253</v>
      </c>
    </row>
    <row r="38" spans="2:21" ht="17" thickBot="1">
      <c r="B38" s="317" t="s">
        <v>48</v>
      </c>
      <c r="C38" s="79"/>
      <c r="D38" s="79"/>
      <c r="E38" s="79"/>
      <c r="F38" s="79"/>
      <c r="G38" s="79"/>
      <c r="H38" s="415" t="s">
        <v>253</v>
      </c>
      <c r="I38" s="415" t="s">
        <v>253</v>
      </c>
      <c r="J38" s="415" t="s">
        <v>253</v>
      </c>
      <c r="K38" s="415" t="s">
        <v>253</v>
      </c>
      <c r="L38" s="415" t="s">
        <v>253</v>
      </c>
      <c r="M38" s="415" t="s">
        <v>253</v>
      </c>
      <c r="N38" s="415" t="s">
        <v>253</v>
      </c>
      <c r="O38" s="415" t="s">
        <v>253</v>
      </c>
      <c r="P38" s="415" t="s">
        <v>253</v>
      </c>
      <c r="Q38" s="415" t="s">
        <v>253</v>
      </c>
      <c r="R38" s="415" t="s">
        <v>253</v>
      </c>
      <c r="S38" s="415" t="s">
        <v>253</v>
      </c>
      <c r="T38" s="629" t="s">
        <v>253</v>
      </c>
      <c r="U38" s="416" t="s">
        <v>253</v>
      </c>
    </row>
    <row r="39" spans="2:21" ht="8" customHeight="1"/>
  </sheetData>
  <mergeCells count="2">
    <mergeCell ref="B2:I2"/>
    <mergeCell ref="H26:J26"/>
  </mergeCells>
  <pageMargins left="0.7" right="0.7" top="0.75" bottom="0.75" header="0.3" footer="0.3"/>
  <pageSetup scale="48" orientation="landscape"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0D2F4-4E0A-3146-AA23-750CB73C6DB4}">
  <sheetPr>
    <pageSetUpPr fitToPage="1"/>
  </sheetPr>
  <dimension ref="B1:U38"/>
  <sheetViews>
    <sheetView workbookViewId="0">
      <selection activeCell="W31" sqref="W31"/>
    </sheetView>
  </sheetViews>
  <sheetFormatPr baseColWidth="10" defaultColWidth="11.5" defaultRowHeight="15"/>
  <cols>
    <col min="2" max="2" width="40.5" customWidth="1"/>
    <col min="3" max="7" width="0" hidden="1" customWidth="1"/>
    <col min="8" max="13" width="13.33203125" customWidth="1"/>
    <col min="14" max="18" width="14.6640625" customWidth="1"/>
    <col min="19" max="19" width="14.6640625" bestFit="1" customWidth="1"/>
    <col min="20" max="21" width="14.6640625" customWidth="1"/>
  </cols>
  <sheetData>
    <row r="1" spans="2:21" ht="16" thickBot="1"/>
    <row r="2" spans="2:21" ht="49" thickBot="1">
      <c r="B2" s="737" t="s">
        <v>256</v>
      </c>
      <c r="C2" s="737"/>
      <c r="D2" s="737"/>
      <c r="E2" s="737"/>
      <c r="F2" s="737"/>
      <c r="G2" s="737"/>
      <c r="H2" s="737"/>
      <c r="I2" s="737"/>
      <c r="J2" s="418"/>
      <c r="K2" s="418"/>
      <c r="L2" s="418"/>
      <c r="M2" s="418"/>
      <c r="N2" s="418"/>
      <c r="O2" s="418"/>
      <c r="P2" s="418"/>
      <c r="Q2" s="418"/>
      <c r="R2" s="418"/>
      <c r="S2" s="419" t="s">
        <v>264</v>
      </c>
      <c r="T2" s="419" t="s">
        <v>162</v>
      </c>
      <c r="U2" s="530"/>
    </row>
    <row r="3" spans="2:21" ht="22" thickBot="1">
      <c r="B3" s="420" t="s">
        <v>90</v>
      </c>
      <c r="C3" s="421">
        <v>2005</v>
      </c>
      <c r="D3" s="421">
        <f>C3+1</f>
        <v>2006</v>
      </c>
      <c r="E3" s="421">
        <f t="shared" ref="E3:U3" si="0">D3+1</f>
        <v>2007</v>
      </c>
      <c r="F3" s="421">
        <f t="shared" si="0"/>
        <v>2008</v>
      </c>
      <c r="G3" s="421">
        <f t="shared" si="0"/>
        <v>2009</v>
      </c>
      <c r="H3" s="421">
        <f t="shared" si="0"/>
        <v>2010</v>
      </c>
      <c r="I3" s="421">
        <f t="shared" si="0"/>
        <v>2011</v>
      </c>
      <c r="J3" s="421">
        <f t="shared" si="0"/>
        <v>2012</v>
      </c>
      <c r="K3" s="421">
        <f t="shared" si="0"/>
        <v>2013</v>
      </c>
      <c r="L3" s="421">
        <f t="shared" si="0"/>
        <v>2014</v>
      </c>
      <c r="M3" s="421">
        <f t="shared" si="0"/>
        <v>2015</v>
      </c>
      <c r="N3" s="421">
        <f t="shared" si="0"/>
        <v>2016</v>
      </c>
      <c r="O3" s="421">
        <f t="shared" si="0"/>
        <v>2017</v>
      </c>
      <c r="P3" s="421">
        <f t="shared" si="0"/>
        <v>2018</v>
      </c>
      <c r="Q3" s="421">
        <f t="shared" si="0"/>
        <v>2019</v>
      </c>
      <c r="R3" s="421">
        <f t="shared" si="0"/>
        <v>2020</v>
      </c>
      <c r="S3" s="421">
        <f t="shared" si="0"/>
        <v>2021</v>
      </c>
      <c r="T3" s="421">
        <f t="shared" si="0"/>
        <v>2022</v>
      </c>
      <c r="U3" s="532">
        <f t="shared" si="0"/>
        <v>2023</v>
      </c>
    </row>
    <row r="4" spans="2:21" ht="16">
      <c r="B4" s="297" t="s">
        <v>1</v>
      </c>
      <c r="C4" s="55"/>
      <c r="D4" s="55"/>
      <c r="E4" s="55"/>
      <c r="F4" s="55"/>
      <c r="G4" s="55"/>
      <c r="H4" s="55">
        <v>58450</v>
      </c>
      <c r="I4" s="55">
        <v>58450</v>
      </c>
      <c r="J4" s="55">
        <v>58450</v>
      </c>
      <c r="K4" s="55">
        <v>58450</v>
      </c>
      <c r="L4" s="55">
        <v>58450</v>
      </c>
      <c r="M4" s="55">
        <v>58450</v>
      </c>
      <c r="N4" s="55">
        <v>58450</v>
      </c>
      <c r="O4" s="55">
        <v>58450</v>
      </c>
      <c r="P4" s="55">
        <v>58450</v>
      </c>
      <c r="Q4" s="55">
        <v>58450</v>
      </c>
      <c r="R4" s="55">
        <v>58450</v>
      </c>
      <c r="S4" s="55">
        <v>58450</v>
      </c>
      <c r="T4" s="55">
        <v>58450</v>
      </c>
      <c r="U4" s="312">
        <v>22995</v>
      </c>
    </row>
    <row r="5" spans="2:21" ht="16">
      <c r="B5" s="188" t="s">
        <v>265</v>
      </c>
      <c r="C5" s="54"/>
      <c r="D5" s="54"/>
      <c r="E5" s="54"/>
      <c r="F5" s="54"/>
      <c r="G5" s="54"/>
      <c r="H5" s="54">
        <v>52765</v>
      </c>
      <c r="I5" s="54">
        <v>52765</v>
      </c>
      <c r="J5" s="54">
        <v>52765</v>
      </c>
      <c r="K5" s="54">
        <v>52765</v>
      </c>
      <c r="L5" s="54">
        <v>52765</v>
      </c>
      <c r="M5" s="54">
        <v>52765</v>
      </c>
      <c r="N5" s="54">
        <v>52765</v>
      </c>
      <c r="O5" s="54">
        <v>52765</v>
      </c>
      <c r="P5" s="54">
        <v>52765</v>
      </c>
      <c r="Q5" s="54">
        <v>52765</v>
      </c>
      <c r="R5" s="54">
        <v>52765</v>
      </c>
      <c r="S5" s="54">
        <v>52765</v>
      </c>
      <c r="T5" s="54">
        <v>52765</v>
      </c>
      <c r="U5" s="3">
        <v>52765</v>
      </c>
    </row>
    <row r="6" spans="2:21" ht="16">
      <c r="B6" s="188" t="s">
        <v>7</v>
      </c>
      <c r="C6" s="54"/>
      <c r="D6" s="54"/>
      <c r="E6" s="54"/>
      <c r="F6" s="54"/>
      <c r="G6" s="54"/>
      <c r="H6" s="54">
        <v>65388</v>
      </c>
      <c r="I6" s="54">
        <v>65388</v>
      </c>
      <c r="J6" s="54">
        <v>65388</v>
      </c>
      <c r="K6" s="54">
        <v>65388</v>
      </c>
      <c r="L6" s="54">
        <v>65388</v>
      </c>
      <c r="M6" s="54">
        <v>65388</v>
      </c>
      <c r="N6" s="54">
        <v>65388</v>
      </c>
      <c r="O6" s="54">
        <v>65388</v>
      </c>
      <c r="P6" s="54">
        <v>65388</v>
      </c>
      <c r="Q6" s="54">
        <v>65388</v>
      </c>
      <c r="R6" s="54">
        <v>65388</v>
      </c>
      <c r="S6" s="54">
        <v>65388</v>
      </c>
      <c r="T6" s="54">
        <v>65388</v>
      </c>
      <c r="U6" s="3">
        <v>65388</v>
      </c>
    </row>
    <row r="7" spans="2:21" ht="16">
      <c r="B7" s="188" t="s">
        <v>9</v>
      </c>
      <c r="C7" s="54"/>
      <c r="D7" s="54"/>
      <c r="E7" s="54"/>
      <c r="F7" s="54"/>
      <c r="G7" s="54"/>
      <c r="H7" s="54">
        <v>36868</v>
      </c>
      <c r="I7" s="54">
        <v>36868</v>
      </c>
      <c r="J7" s="54">
        <v>36868</v>
      </c>
      <c r="K7" s="54">
        <v>36868</v>
      </c>
      <c r="L7" s="54">
        <v>36868</v>
      </c>
      <c r="M7" s="54">
        <v>36868</v>
      </c>
      <c r="N7" s="54">
        <v>36868</v>
      </c>
      <c r="O7" s="54">
        <v>36868</v>
      </c>
      <c r="P7" s="54">
        <v>36868</v>
      </c>
      <c r="Q7" s="54">
        <v>36868</v>
      </c>
      <c r="R7" s="54">
        <v>36868</v>
      </c>
      <c r="S7" s="54">
        <v>36868</v>
      </c>
      <c r="T7" s="54">
        <v>36868</v>
      </c>
      <c r="U7" s="3">
        <v>36868</v>
      </c>
    </row>
    <row r="8" spans="2:21" ht="16">
      <c r="B8" s="188" t="s">
        <v>11</v>
      </c>
      <c r="C8" s="54"/>
      <c r="D8" s="54"/>
      <c r="E8" s="54"/>
      <c r="F8" s="54"/>
      <c r="G8" s="54"/>
      <c r="H8" s="54">
        <v>53090</v>
      </c>
      <c r="I8" s="54">
        <v>53090</v>
      </c>
      <c r="J8" s="54">
        <v>53090</v>
      </c>
      <c r="K8" s="54">
        <v>53090</v>
      </c>
      <c r="L8" s="54">
        <v>53090</v>
      </c>
      <c r="M8" s="54">
        <v>53090</v>
      </c>
      <c r="N8" s="54">
        <v>53090</v>
      </c>
      <c r="O8" s="54">
        <v>53090</v>
      </c>
      <c r="P8" s="54">
        <v>53090</v>
      </c>
      <c r="Q8" s="54">
        <v>53090</v>
      </c>
      <c r="R8" s="54">
        <v>53090</v>
      </c>
      <c r="S8" s="54">
        <v>53090</v>
      </c>
      <c r="T8" s="54">
        <v>53090</v>
      </c>
      <c r="U8" s="3">
        <v>53090</v>
      </c>
    </row>
    <row r="9" spans="2:21" ht="16">
      <c r="B9" s="188" t="s">
        <v>13</v>
      </c>
      <c r="C9" s="54"/>
      <c r="D9" s="54"/>
      <c r="E9" s="54"/>
      <c r="F9" s="54"/>
      <c r="G9" s="54"/>
      <c r="H9" s="54">
        <v>60192</v>
      </c>
      <c r="I9" s="54">
        <v>60192</v>
      </c>
      <c r="J9" s="54">
        <v>60192</v>
      </c>
      <c r="K9" s="54">
        <v>60192</v>
      </c>
      <c r="L9" s="54">
        <v>60192</v>
      </c>
      <c r="M9" s="54">
        <v>60192</v>
      </c>
      <c r="N9" s="54">
        <v>60192</v>
      </c>
      <c r="O9" s="54">
        <v>60192</v>
      </c>
      <c r="P9" s="54">
        <v>60192</v>
      </c>
      <c r="Q9" s="54">
        <v>60192</v>
      </c>
      <c r="R9" s="54">
        <v>60192</v>
      </c>
      <c r="S9" s="54">
        <v>60192</v>
      </c>
      <c r="T9" s="54">
        <v>60192</v>
      </c>
      <c r="U9" s="3">
        <v>60192</v>
      </c>
    </row>
    <row r="10" spans="2:21" ht="16">
      <c r="B10" s="188" t="s">
        <v>15</v>
      </c>
      <c r="C10" s="54"/>
      <c r="D10" s="54"/>
      <c r="E10" s="54"/>
      <c r="F10" s="54"/>
      <c r="G10" s="54"/>
      <c r="H10" s="54">
        <v>60992</v>
      </c>
      <c r="I10" s="54">
        <v>60992</v>
      </c>
      <c r="J10" s="54">
        <v>60992</v>
      </c>
      <c r="K10" s="54">
        <v>60992</v>
      </c>
      <c r="L10" s="54">
        <v>60992</v>
      </c>
      <c r="M10" s="54">
        <v>60992</v>
      </c>
      <c r="N10" s="54">
        <v>60992</v>
      </c>
      <c r="O10" s="54">
        <v>60992</v>
      </c>
      <c r="P10" s="54">
        <v>65826</v>
      </c>
      <c r="Q10" s="54">
        <v>65826</v>
      </c>
      <c r="R10" s="54">
        <v>65826</v>
      </c>
      <c r="S10" s="54">
        <v>65826</v>
      </c>
      <c r="T10" s="54">
        <v>65826</v>
      </c>
      <c r="U10" s="3">
        <v>65826</v>
      </c>
    </row>
    <row r="11" spans="2:21" ht="16">
      <c r="B11" s="188" t="s">
        <v>17</v>
      </c>
      <c r="C11" s="54"/>
      <c r="D11" s="54"/>
      <c r="E11" s="54"/>
      <c r="F11" s="54"/>
      <c r="G11" s="54"/>
      <c r="H11" s="54">
        <v>52539</v>
      </c>
      <c r="I11" s="54">
        <v>52539</v>
      </c>
      <c r="J11" s="54">
        <v>52539</v>
      </c>
      <c r="K11" s="54">
        <v>52539</v>
      </c>
      <c r="L11" s="54">
        <v>52539</v>
      </c>
      <c r="M11" s="54">
        <v>52539</v>
      </c>
      <c r="N11" s="54">
        <v>52539</v>
      </c>
      <c r="O11" s="54">
        <v>52539</v>
      </c>
      <c r="P11" s="54">
        <v>52539</v>
      </c>
      <c r="Q11" s="54">
        <v>60899</v>
      </c>
      <c r="R11" s="54">
        <v>60899</v>
      </c>
      <c r="S11" s="54">
        <v>60899</v>
      </c>
      <c r="T11" s="54">
        <v>60899</v>
      </c>
      <c r="U11" s="3">
        <v>60899</v>
      </c>
    </row>
    <row r="12" spans="2:21" ht="16">
      <c r="B12" s="188" t="s">
        <v>19</v>
      </c>
      <c r="C12" s="54"/>
      <c r="D12" s="54"/>
      <c r="E12" s="54"/>
      <c r="F12" s="54"/>
      <c r="G12" s="54"/>
      <c r="H12" s="54">
        <v>43199</v>
      </c>
      <c r="I12" s="54">
        <v>43199</v>
      </c>
      <c r="J12" s="54">
        <v>43199</v>
      </c>
      <c r="K12" s="54">
        <v>43199</v>
      </c>
      <c r="L12" s="54">
        <v>43199</v>
      </c>
      <c r="M12" s="54">
        <v>43199</v>
      </c>
      <c r="N12" s="54">
        <v>43199</v>
      </c>
      <c r="O12" s="54">
        <v>43199</v>
      </c>
      <c r="P12" s="54">
        <v>43199</v>
      </c>
      <c r="Q12" s="54">
        <v>43199</v>
      </c>
      <c r="R12" s="54">
        <v>43199</v>
      </c>
      <c r="S12" s="54">
        <v>43199</v>
      </c>
      <c r="T12" s="54">
        <v>43199</v>
      </c>
      <c r="U12" s="3">
        <v>43199</v>
      </c>
    </row>
    <row r="13" spans="2:21" ht="16">
      <c r="B13" s="188" t="s">
        <v>21</v>
      </c>
      <c r="C13" s="54"/>
      <c r="D13" s="54"/>
      <c r="E13" s="54"/>
      <c r="F13" s="54"/>
      <c r="G13" s="54"/>
      <c r="H13" s="54">
        <v>32080</v>
      </c>
      <c r="I13" s="54">
        <v>32080</v>
      </c>
      <c r="J13" s="54">
        <v>32080</v>
      </c>
      <c r="K13" s="54">
        <v>32080</v>
      </c>
      <c r="L13" s="54">
        <v>32080</v>
      </c>
      <c r="M13" s="54">
        <v>32080</v>
      </c>
      <c r="N13" s="54">
        <v>32080</v>
      </c>
      <c r="O13" s="54">
        <v>32080</v>
      </c>
      <c r="P13" s="54">
        <v>32080</v>
      </c>
      <c r="Q13" s="54">
        <v>32080</v>
      </c>
      <c r="R13" s="54">
        <v>32080</v>
      </c>
      <c r="S13" s="54">
        <v>32080</v>
      </c>
      <c r="T13" s="54">
        <v>32080</v>
      </c>
      <c r="U13" s="3">
        <v>32080</v>
      </c>
    </row>
    <row r="14" spans="2:21" ht="16">
      <c r="B14" s="188" t="s">
        <v>23</v>
      </c>
      <c r="C14" s="54"/>
      <c r="D14" s="54"/>
      <c r="E14" s="54"/>
      <c r="F14" s="54"/>
      <c r="G14" s="54"/>
      <c r="H14" s="54">
        <v>62117</v>
      </c>
      <c r="I14" s="54">
        <v>62117</v>
      </c>
      <c r="J14" s="54">
        <v>62117</v>
      </c>
      <c r="K14" s="54">
        <v>62117</v>
      </c>
      <c r="L14" s="54">
        <v>62117</v>
      </c>
      <c r="M14" s="54">
        <v>62117</v>
      </c>
      <c r="N14" s="54">
        <v>62117</v>
      </c>
      <c r="O14" s="54">
        <v>62117</v>
      </c>
      <c r="P14" s="54">
        <v>62117</v>
      </c>
      <c r="Q14" s="54">
        <v>62117</v>
      </c>
      <c r="R14" s="54">
        <v>62117</v>
      </c>
      <c r="S14" s="54">
        <v>62117</v>
      </c>
      <c r="T14" s="54">
        <v>62117</v>
      </c>
      <c r="U14" s="3">
        <v>62117</v>
      </c>
    </row>
    <row r="15" spans="2:21" ht="16">
      <c r="B15" s="188" t="s">
        <v>25</v>
      </c>
      <c r="C15" s="54"/>
      <c r="D15" s="54"/>
      <c r="E15" s="54"/>
      <c r="F15" s="54"/>
      <c r="G15" s="54"/>
      <c r="H15" s="54">
        <v>58032</v>
      </c>
      <c r="I15" s="54">
        <v>58032</v>
      </c>
      <c r="J15" s="54">
        <v>58032</v>
      </c>
      <c r="K15" s="54">
        <v>58032</v>
      </c>
      <c r="L15" s="54">
        <v>58032</v>
      </c>
      <c r="M15" s="54">
        <v>58032</v>
      </c>
      <c r="N15" s="54">
        <v>58032</v>
      </c>
      <c r="O15" s="54">
        <v>58032</v>
      </c>
      <c r="P15" s="54">
        <v>58032</v>
      </c>
      <c r="Q15" s="54">
        <v>58032</v>
      </c>
      <c r="R15" s="54">
        <v>58032</v>
      </c>
      <c r="S15" s="54">
        <v>58032</v>
      </c>
      <c r="T15" s="54">
        <v>58032</v>
      </c>
      <c r="U15" s="3">
        <v>58032</v>
      </c>
    </row>
    <row r="16" spans="2:21" ht="16">
      <c r="B16" s="188" t="s">
        <v>27</v>
      </c>
      <c r="C16" s="54"/>
      <c r="D16" s="54"/>
      <c r="E16" s="54"/>
      <c r="F16" s="54"/>
      <c r="G16" s="54"/>
      <c r="H16" s="54">
        <v>52200</v>
      </c>
      <c r="I16" s="54">
        <v>52200</v>
      </c>
      <c r="J16" s="54">
        <v>52200</v>
      </c>
      <c r="K16" s="54">
        <v>52200</v>
      </c>
      <c r="L16" s="54">
        <v>52200</v>
      </c>
      <c r="M16" s="54">
        <v>52200</v>
      </c>
      <c r="N16" s="54">
        <v>52200</v>
      </c>
      <c r="O16" s="54">
        <v>52200</v>
      </c>
      <c r="P16" s="54">
        <v>57034</v>
      </c>
      <c r="Q16" s="54">
        <v>57034</v>
      </c>
      <c r="R16" s="54">
        <v>57034</v>
      </c>
      <c r="S16" s="54">
        <v>57034</v>
      </c>
      <c r="T16" s="54">
        <v>57034</v>
      </c>
      <c r="U16" s="3">
        <v>57034</v>
      </c>
    </row>
    <row r="17" spans="2:21" ht="16">
      <c r="B17" s="188" t="s">
        <v>29</v>
      </c>
      <c r="C17" s="54"/>
      <c r="D17" s="54"/>
      <c r="E17" s="54"/>
      <c r="F17" s="54"/>
      <c r="G17" s="54"/>
      <c r="H17" s="54">
        <v>42549</v>
      </c>
      <c r="I17" s="54">
        <v>42549</v>
      </c>
      <c r="J17" s="54">
        <v>42549</v>
      </c>
      <c r="K17" s="54">
        <v>42549</v>
      </c>
      <c r="L17" s="54">
        <v>42549</v>
      </c>
      <c r="M17" s="54">
        <v>42549</v>
      </c>
      <c r="N17" s="54">
        <v>42549</v>
      </c>
      <c r="O17" s="54">
        <v>42549</v>
      </c>
      <c r="P17" s="54">
        <v>42549</v>
      </c>
      <c r="Q17" s="54">
        <v>42549</v>
      </c>
      <c r="R17" s="54">
        <v>42549</v>
      </c>
      <c r="S17" s="54">
        <v>42549</v>
      </c>
      <c r="T17" s="54">
        <v>42549</v>
      </c>
      <c r="U17" s="3">
        <v>42549</v>
      </c>
    </row>
    <row r="18" spans="2:21" ht="16">
      <c r="B18" s="188" t="s">
        <v>31</v>
      </c>
      <c r="C18" s="54"/>
      <c r="D18" s="54"/>
      <c r="E18" s="54"/>
      <c r="F18" s="54"/>
      <c r="G18" s="54"/>
      <c r="H18" s="54">
        <v>59009</v>
      </c>
      <c r="I18" s="54">
        <v>59009</v>
      </c>
      <c r="J18" s="54">
        <v>59009</v>
      </c>
      <c r="K18" s="54">
        <v>59009</v>
      </c>
      <c r="L18" s="54">
        <v>59009</v>
      </c>
      <c r="M18" s="54">
        <v>59009</v>
      </c>
      <c r="N18" s="54">
        <v>59009</v>
      </c>
      <c r="O18" s="54">
        <v>59009</v>
      </c>
      <c r="P18" s="54">
        <v>59009</v>
      </c>
      <c r="Q18" s="54">
        <v>59009</v>
      </c>
      <c r="R18" s="54">
        <v>59009</v>
      </c>
      <c r="S18" s="54">
        <v>59009</v>
      </c>
      <c r="T18" s="54">
        <v>59009</v>
      </c>
      <c r="U18" s="3">
        <v>59009</v>
      </c>
    </row>
    <row r="19" spans="2:21" ht="16">
      <c r="B19" s="188" t="s">
        <v>33</v>
      </c>
      <c r="C19" s="54"/>
      <c r="D19" s="54"/>
      <c r="E19" s="54"/>
      <c r="F19" s="54"/>
      <c r="G19" s="54"/>
      <c r="H19" s="54">
        <v>59970</v>
      </c>
      <c r="I19" s="54">
        <v>59970</v>
      </c>
      <c r="J19" s="54">
        <v>59970</v>
      </c>
      <c r="K19" s="54">
        <v>59970</v>
      </c>
      <c r="L19" s="54">
        <v>59970</v>
      </c>
      <c r="M19" s="54">
        <v>59970</v>
      </c>
      <c r="N19" s="54">
        <v>59970</v>
      </c>
      <c r="O19" s="54">
        <v>59970</v>
      </c>
      <c r="P19" s="54">
        <v>59970</v>
      </c>
      <c r="Q19" s="54">
        <v>59970</v>
      </c>
      <c r="R19" s="54">
        <v>59970</v>
      </c>
      <c r="S19" s="54">
        <v>59970</v>
      </c>
      <c r="T19" s="54">
        <v>59970</v>
      </c>
      <c r="U19" s="3">
        <v>59970</v>
      </c>
    </row>
    <row r="20" spans="2:21" ht="16">
      <c r="B20" s="188" t="s">
        <v>74</v>
      </c>
      <c r="C20" s="54"/>
      <c r="D20" s="54"/>
      <c r="E20" s="54"/>
      <c r="F20" s="54"/>
      <c r="G20" s="54"/>
      <c r="H20" s="54">
        <v>88513</v>
      </c>
      <c r="I20" s="54">
        <v>88513</v>
      </c>
      <c r="J20" s="54">
        <v>88513</v>
      </c>
      <c r="K20" s="54">
        <v>88513</v>
      </c>
      <c r="L20" s="54">
        <v>88513</v>
      </c>
      <c r="M20" s="54">
        <v>88513</v>
      </c>
      <c r="N20" s="54">
        <v>88513</v>
      </c>
      <c r="O20" s="54">
        <v>88513</v>
      </c>
      <c r="P20" s="54">
        <v>88513</v>
      </c>
      <c r="Q20" s="54">
        <v>88513</v>
      </c>
      <c r="R20" s="54">
        <v>88513</v>
      </c>
      <c r="S20" s="54">
        <v>88513</v>
      </c>
      <c r="T20" s="54">
        <v>88513</v>
      </c>
      <c r="U20" s="3">
        <v>88513</v>
      </c>
    </row>
    <row r="21" spans="2:21" ht="16">
      <c r="B21" s="188" t="s">
        <v>36</v>
      </c>
      <c r="C21" s="54"/>
      <c r="D21" s="54"/>
      <c r="E21" s="54"/>
      <c r="F21" s="54"/>
      <c r="G21" s="54"/>
      <c r="H21" s="54">
        <v>56888</v>
      </c>
      <c r="I21" s="54">
        <v>56888</v>
      </c>
      <c r="J21" s="54">
        <v>56888</v>
      </c>
      <c r="K21" s="54">
        <v>56888</v>
      </c>
      <c r="L21" s="54">
        <v>56888</v>
      </c>
      <c r="M21" s="54">
        <v>65569</v>
      </c>
      <c r="N21" s="54">
        <v>65569</v>
      </c>
      <c r="O21" s="54">
        <v>65569</v>
      </c>
      <c r="P21" s="54">
        <v>70403</v>
      </c>
      <c r="Q21" s="54">
        <v>78763</v>
      </c>
      <c r="R21" s="54">
        <v>78763</v>
      </c>
      <c r="S21" s="54">
        <v>78763</v>
      </c>
      <c r="T21" s="54">
        <v>78763</v>
      </c>
      <c r="U21" s="3">
        <v>78763</v>
      </c>
    </row>
    <row r="22" spans="2:21" ht="16">
      <c r="B22" s="188" t="s">
        <v>67</v>
      </c>
      <c r="C22" s="54"/>
      <c r="D22" s="54"/>
      <c r="E22" s="54"/>
      <c r="F22" s="54"/>
      <c r="G22" s="54"/>
      <c r="H22" s="54">
        <v>48564</v>
      </c>
      <c r="I22" s="54">
        <v>48564</v>
      </c>
      <c r="J22" s="54">
        <v>48564</v>
      </c>
      <c r="K22" s="54">
        <v>48564</v>
      </c>
      <c r="L22" s="54">
        <v>63776</v>
      </c>
      <c r="M22" s="54">
        <v>63776</v>
      </c>
      <c r="N22" s="54">
        <v>63776</v>
      </c>
      <c r="O22" s="54">
        <v>63776</v>
      </c>
      <c r="P22" s="54">
        <v>63776</v>
      </c>
      <c r="Q22" s="54">
        <v>63776</v>
      </c>
      <c r="R22" s="54">
        <v>63776</v>
      </c>
      <c r="S22" s="54">
        <v>63776</v>
      </c>
      <c r="T22" s="54">
        <v>63776</v>
      </c>
      <c r="U22" s="3">
        <v>82369</v>
      </c>
    </row>
    <row r="23" spans="2:21" ht="16">
      <c r="B23" s="188" t="s">
        <v>39</v>
      </c>
      <c r="C23" s="54"/>
      <c r="D23" s="54"/>
      <c r="E23" s="54"/>
      <c r="F23" s="54"/>
      <c r="G23" s="54"/>
      <c r="H23" s="54">
        <v>53800</v>
      </c>
      <c r="I23" s="54">
        <v>53800</v>
      </c>
      <c r="J23" s="54">
        <v>53800</v>
      </c>
      <c r="K23" s="54">
        <v>53800</v>
      </c>
      <c r="L23" s="54">
        <v>53800</v>
      </c>
      <c r="M23" s="54">
        <v>53800</v>
      </c>
      <c r="N23" s="54">
        <v>53800</v>
      </c>
      <c r="O23" s="54">
        <v>53800</v>
      </c>
      <c r="P23" s="54">
        <v>53800</v>
      </c>
      <c r="Q23" s="54">
        <v>53800</v>
      </c>
      <c r="R23" s="54">
        <v>53800</v>
      </c>
      <c r="S23" s="54">
        <v>53800</v>
      </c>
      <c r="T23" s="54">
        <v>53800</v>
      </c>
      <c r="U23" s="3">
        <v>53800</v>
      </c>
    </row>
    <row r="24" spans="2:21" ht="16">
      <c r="B24" s="188" t="s">
        <v>41</v>
      </c>
      <c r="C24" s="54"/>
      <c r="D24" s="54"/>
      <c r="E24" s="54"/>
      <c r="F24" s="54"/>
      <c r="G24" s="54"/>
      <c r="H24" s="54">
        <v>41631</v>
      </c>
      <c r="I24" s="54">
        <v>41631</v>
      </c>
      <c r="J24" s="54">
        <v>41631</v>
      </c>
      <c r="K24" s="54">
        <v>41631</v>
      </c>
      <c r="L24" s="54">
        <v>41631</v>
      </c>
      <c r="M24" s="54">
        <v>41631</v>
      </c>
      <c r="N24" s="54">
        <v>41631</v>
      </c>
      <c r="O24" s="54">
        <v>41631</v>
      </c>
      <c r="P24" s="54">
        <v>41631</v>
      </c>
      <c r="Q24" s="54">
        <v>41631</v>
      </c>
      <c r="R24" s="54">
        <v>41631</v>
      </c>
      <c r="S24" s="54">
        <v>41631</v>
      </c>
      <c r="T24" s="54">
        <v>41631</v>
      </c>
      <c r="U24" s="3">
        <v>41631</v>
      </c>
    </row>
    <row r="25" spans="2:21" ht="16">
      <c r="B25" s="188" t="s">
        <v>44</v>
      </c>
      <c r="C25" s="54"/>
      <c r="D25" s="54"/>
      <c r="E25" s="54"/>
      <c r="F25" s="54"/>
      <c r="G25" s="54"/>
      <c r="H25" s="54">
        <v>58470</v>
      </c>
      <c r="I25" s="54">
        <v>58470</v>
      </c>
      <c r="J25" s="54">
        <v>58470</v>
      </c>
      <c r="K25" s="54">
        <v>58470</v>
      </c>
      <c r="L25" s="54">
        <v>58470</v>
      </c>
      <c r="M25" s="54">
        <v>58470</v>
      </c>
      <c r="N25" s="54">
        <v>58470</v>
      </c>
      <c r="O25" s="54">
        <v>58470</v>
      </c>
      <c r="P25" s="54">
        <v>63304</v>
      </c>
      <c r="Q25" s="54">
        <v>63304</v>
      </c>
      <c r="R25" s="54">
        <v>63304</v>
      </c>
      <c r="S25" s="54">
        <v>63304</v>
      </c>
      <c r="T25" s="54">
        <v>63304</v>
      </c>
      <c r="U25" s="3">
        <v>63304</v>
      </c>
    </row>
    <row r="26" spans="2:21" ht="16">
      <c r="B26" s="188" t="s">
        <v>46</v>
      </c>
      <c r="C26" s="54"/>
      <c r="D26" s="54"/>
      <c r="E26" s="54"/>
      <c r="F26" s="54"/>
      <c r="G26" s="54"/>
      <c r="H26" s="738" t="s">
        <v>97</v>
      </c>
      <c r="I26" s="738"/>
      <c r="J26" s="738"/>
      <c r="K26" s="410"/>
      <c r="L26" s="410"/>
      <c r="M26" s="410"/>
      <c r="N26" s="410"/>
      <c r="O26" s="410"/>
      <c r="P26" s="410"/>
      <c r="Q26" s="410"/>
      <c r="R26" s="410"/>
      <c r="S26" s="410"/>
      <c r="T26" s="410"/>
      <c r="U26" s="414"/>
    </row>
    <row r="27" spans="2:21" ht="16">
      <c r="B27" s="188" t="s">
        <v>49</v>
      </c>
      <c r="C27" s="54"/>
      <c r="D27" s="54"/>
      <c r="E27" s="54"/>
      <c r="F27" s="54"/>
      <c r="G27" s="54"/>
      <c r="H27" s="54">
        <v>156000</v>
      </c>
      <c r="I27" s="54">
        <v>156000</v>
      </c>
      <c r="J27" s="54">
        <v>156000</v>
      </c>
      <c r="K27" s="54">
        <v>156000</v>
      </c>
      <c r="L27" s="54">
        <v>156000</v>
      </c>
      <c r="M27" s="54">
        <v>156000</v>
      </c>
      <c r="N27" s="54">
        <v>156000</v>
      </c>
      <c r="O27" s="54">
        <v>156000</v>
      </c>
      <c r="P27" s="54">
        <v>156000</v>
      </c>
      <c r="Q27" s="54">
        <v>156000</v>
      </c>
      <c r="R27" s="54">
        <v>156000</v>
      </c>
      <c r="S27" s="54">
        <v>156000</v>
      </c>
      <c r="T27" s="54">
        <v>156000</v>
      </c>
      <c r="U27" s="3">
        <v>156000</v>
      </c>
    </row>
    <row r="28" spans="2:21" ht="16">
      <c r="B28" s="188" t="s">
        <v>51</v>
      </c>
      <c r="C28" s="54"/>
      <c r="D28" s="54"/>
      <c r="E28" s="54"/>
      <c r="F28" s="54"/>
      <c r="G28" s="54"/>
      <c r="H28" s="54">
        <v>234638</v>
      </c>
      <c r="I28" s="54">
        <v>234638</v>
      </c>
      <c r="J28" s="54">
        <v>234638</v>
      </c>
      <c r="K28" s="54">
        <v>234638</v>
      </c>
      <c r="L28" s="54">
        <v>234638</v>
      </c>
      <c r="M28" s="54">
        <v>234638</v>
      </c>
      <c r="N28" s="54">
        <v>234638</v>
      </c>
      <c r="O28" s="54">
        <v>234638</v>
      </c>
      <c r="P28" s="54">
        <v>234638</v>
      </c>
      <c r="Q28" s="54">
        <v>242998</v>
      </c>
      <c r="R28" s="54">
        <v>242998</v>
      </c>
      <c r="S28" s="54">
        <v>242998</v>
      </c>
      <c r="T28" s="54">
        <v>242998</v>
      </c>
      <c r="U28" s="3">
        <v>242998</v>
      </c>
    </row>
    <row r="29" spans="2:21" ht="16">
      <c r="B29" s="188" t="s">
        <v>53</v>
      </c>
      <c r="C29" s="54"/>
      <c r="D29" s="54"/>
      <c r="E29" s="54"/>
      <c r="F29" s="54"/>
      <c r="G29" s="54"/>
      <c r="H29" s="54">
        <v>162758</v>
      </c>
      <c r="I29" s="54">
        <v>162758</v>
      </c>
      <c r="J29" s="54">
        <v>162758</v>
      </c>
      <c r="K29" s="54">
        <v>162758</v>
      </c>
      <c r="L29" s="54">
        <v>162758</v>
      </c>
      <c r="M29" s="54">
        <v>162758</v>
      </c>
      <c r="N29" s="54">
        <v>162758</v>
      </c>
      <c r="O29" s="54">
        <v>162758</v>
      </c>
      <c r="P29" s="54">
        <v>162758</v>
      </c>
      <c r="Q29" s="54">
        <v>162758</v>
      </c>
      <c r="R29" s="54">
        <v>162758</v>
      </c>
      <c r="S29" s="54">
        <v>162758</v>
      </c>
      <c r="T29" s="54">
        <v>162758</v>
      </c>
      <c r="U29" s="3">
        <v>162758</v>
      </c>
    </row>
    <row r="30" spans="2:21" ht="16">
      <c r="B30" s="188" t="s">
        <v>55</v>
      </c>
      <c r="C30" s="54"/>
      <c r="D30" s="54"/>
      <c r="E30" s="54"/>
      <c r="F30" s="54"/>
      <c r="G30" s="54"/>
      <c r="H30" s="54">
        <v>190090</v>
      </c>
      <c r="I30" s="54">
        <v>190090</v>
      </c>
      <c r="J30" s="54">
        <v>190090</v>
      </c>
      <c r="K30" s="54">
        <v>190090</v>
      </c>
      <c r="L30" s="54">
        <v>190090</v>
      </c>
      <c r="M30" s="54">
        <v>190090</v>
      </c>
      <c r="N30" s="54">
        <v>190090</v>
      </c>
      <c r="O30" s="54">
        <v>190090</v>
      </c>
      <c r="P30" s="54">
        <v>190090</v>
      </c>
      <c r="Q30" s="54">
        <v>190090</v>
      </c>
      <c r="R30" s="54">
        <v>190090</v>
      </c>
      <c r="S30" s="54">
        <v>190090</v>
      </c>
      <c r="T30" s="54">
        <v>190090</v>
      </c>
      <c r="U30" s="3">
        <v>190090</v>
      </c>
    </row>
    <row r="31" spans="2:21" ht="16">
      <c r="B31" s="188" t="s">
        <v>57</v>
      </c>
      <c r="C31" s="54"/>
      <c r="D31" s="54"/>
      <c r="E31" s="54"/>
      <c r="F31" s="54"/>
      <c r="G31" s="54"/>
      <c r="H31" s="54">
        <v>215942</v>
      </c>
      <c r="I31" s="54">
        <v>215942</v>
      </c>
      <c r="J31" s="54">
        <v>215942</v>
      </c>
      <c r="K31" s="54">
        <v>215942</v>
      </c>
      <c r="L31" s="54">
        <v>215942</v>
      </c>
      <c r="M31" s="54">
        <v>215942</v>
      </c>
      <c r="N31" s="54">
        <v>215942</v>
      </c>
      <c r="O31" s="54">
        <v>215942</v>
      </c>
      <c r="P31" s="54">
        <v>215942</v>
      </c>
      <c r="Q31" s="54">
        <v>215942</v>
      </c>
      <c r="R31" s="54">
        <v>215942</v>
      </c>
      <c r="S31" s="54">
        <v>215942</v>
      </c>
      <c r="T31" s="54">
        <v>215942</v>
      </c>
      <c r="U31" s="3">
        <v>215942</v>
      </c>
    </row>
    <row r="32" spans="2:21" ht="16">
      <c r="B32" s="188" t="s">
        <v>68</v>
      </c>
      <c r="C32" s="54"/>
      <c r="D32" s="54"/>
      <c r="E32" s="54"/>
      <c r="F32" s="54"/>
      <c r="G32" s="54"/>
      <c r="H32" s="54">
        <v>38402</v>
      </c>
      <c r="I32" s="54">
        <v>38402</v>
      </c>
      <c r="J32" s="54">
        <v>38402</v>
      </c>
      <c r="K32" s="54">
        <v>38402</v>
      </c>
      <c r="L32" s="54">
        <v>38402</v>
      </c>
      <c r="M32" s="54">
        <v>38402</v>
      </c>
      <c r="N32" s="54">
        <v>38402</v>
      </c>
      <c r="O32" s="54">
        <v>38402</v>
      </c>
      <c r="P32" s="54">
        <v>38402</v>
      </c>
      <c r="Q32" s="54">
        <v>38402</v>
      </c>
      <c r="R32" s="54">
        <v>38402</v>
      </c>
      <c r="S32" s="54">
        <v>38402</v>
      </c>
      <c r="T32" s="54">
        <v>38402</v>
      </c>
      <c r="U32" s="3">
        <v>38402</v>
      </c>
    </row>
    <row r="33" spans="2:21" ht="16">
      <c r="B33" s="188" t="s">
        <v>59</v>
      </c>
      <c r="C33" s="54"/>
      <c r="D33" s="54"/>
      <c r="E33" s="54"/>
      <c r="F33" s="54"/>
      <c r="G33" s="54"/>
      <c r="H33" s="54">
        <v>405187</v>
      </c>
      <c r="I33" s="54">
        <v>405187</v>
      </c>
      <c r="J33" s="54">
        <v>405187</v>
      </c>
      <c r="K33" s="54">
        <v>405187</v>
      </c>
      <c r="L33" s="54">
        <v>405187</v>
      </c>
      <c r="M33" s="54">
        <v>405187</v>
      </c>
      <c r="N33" s="54">
        <v>405187</v>
      </c>
      <c r="O33" s="54">
        <v>405187</v>
      </c>
      <c r="P33" s="54">
        <v>405187</v>
      </c>
      <c r="Q33" s="54">
        <v>405187</v>
      </c>
      <c r="R33" s="54">
        <v>405187</v>
      </c>
      <c r="S33" s="54">
        <v>405187</v>
      </c>
      <c r="T33" s="54">
        <v>405187</v>
      </c>
      <c r="U33" s="3">
        <v>405187</v>
      </c>
    </row>
    <row r="34" spans="2:21" ht="16">
      <c r="B34" s="188" t="s">
        <v>61</v>
      </c>
      <c r="C34" s="54"/>
      <c r="D34" s="54"/>
      <c r="E34" s="54"/>
      <c r="F34" s="54"/>
      <c r="G34" s="54"/>
      <c r="H34" s="54">
        <v>404692</v>
      </c>
      <c r="I34" s="54">
        <v>404692</v>
      </c>
      <c r="J34" s="54">
        <v>404692</v>
      </c>
      <c r="K34" s="54">
        <v>404692</v>
      </c>
      <c r="L34" s="54">
        <v>404692</v>
      </c>
      <c r="M34" s="54">
        <v>404692</v>
      </c>
      <c r="N34" s="54">
        <v>404692</v>
      </c>
      <c r="O34" s="54">
        <v>404692</v>
      </c>
      <c r="P34" s="54">
        <v>404692</v>
      </c>
      <c r="Q34" s="54">
        <v>404692</v>
      </c>
      <c r="R34" s="54">
        <v>404692</v>
      </c>
      <c r="S34" s="54">
        <v>404692</v>
      </c>
      <c r="T34" s="54">
        <v>404692</v>
      </c>
      <c r="U34" s="3">
        <v>404692</v>
      </c>
    </row>
    <row r="35" spans="2:21" ht="16">
      <c r="B35" s="188" t="s">
        <v>95</v>
      </c>
      <c r="C35" s="54"/>
      <c r="D35" s="54"/>
      <c r="E35" s="54"/>
      <c r="F35" s="54"/>
      <c r="G35" s="54"/>
      <c r="H35" s="54">
        <v>58200</v>
      </c>
      <c r="I35" s="54">
        <v>58200</v>
      </c>
      <c r="J35" s="54">
        <v>58200</v>
      </c>
      <c r="K35" s="54">
        <v>58200</v>
      </c>
      <c r="L35" s="54">
        <v>58200</v>
      </c>
      <c r="M35" s="54">
        <v>58200</v>
      </c>
      <c r="N35" s="54">
        <v>58200</v>
      </c>
      <c r="O35" s="54">
        <v>58200</v>
      </c>
      <c r="P35" s="54">
        <v>58200</v>
      </c>
      <c r="Q35" s="54">
        <v>58200</v>
      </c>
      <c r="R35" s="54">
        <v>58200</v>
      </c>
      <c r="S35" s="54">
        <v>58200</v>
      </c>
      <c r="T35" s="54">
        <v>58200</v>
      </c>
      <c r="U35" s="3">
        <v>58200</v>
      </c>
    </row>
    <row r="36" spans="2:21" ht="16">
      <c r="B36" s="188" t="s">
        <v>65</v>
      </c>
      <c r="C36" s="54"/>
      <c r="D36" s="54"/>
      <c r="E36" s="54"/>
      <c r="F36" s="54"/>
      <c r="G36" s="54"/>
      <c r="H36" s="54">
        <v>380564</v>
      </c>
      <c r="I36" s="54">
        <v>380564</v>
      </c>
      <c r="J36" s="54">
        <v>380564</v>
      </c>
      <c r="K36" s="54">
        <v>380564</v>
      </c>
      <c r="L36" s="54">
        <v>380564</v>
      </c>
      <c r="M36" s="54">
        <v>380564</v>
      </c>
      <c r="N36" s="54">
        <v>380564</v>
      </c>
      <c r="O36" s="54">
        <v>380564</v>
      </c>
      <c r="P36" s="54">
        <v>380564</v>
      </c>
      <c r="Q36" s="54">
        <v>380564</v>
      </c>
      <c r="R36" s="54">
        <v>380564</v>
      </c>
      <c r="S36" s="54">
        <v>380564</v>
      </c>
      <c r="T36" s="54">
        <v>380564</v>
      </c>
      <c r="U36" s="3">
        <v>380564</v>
      </c>
    </row>
    <row r="37" spans="2:21" ht="16">
      <c r="B37" s="188" t="s">
        <v>5</v>
      </c>
      <c r="C37" s="54"/>
      <c r="D37" s="54"/>
      <c r="E37" s="54"/>
      <c r="F37" s="54"/>
      <c r="G37" s="54"/>
      <c r="H37" s="54">
        <v>46600</v>
      </c>
      <c r="I37" s="54">
        <v>46600</v>
      </c>
      <c r="J37" s="54">
        <v>46600</v>
      </c>
      <c r="K37" s="54">
        <v>46600</v>
      </c>
      <c r="L37" s="54">
        <v>46600</v>
      </c>
      <c r="M37" s="54">
        <v>46600</v>
      </c>
      <c r="N37" s="54">
        <v>46600</v>
      </c>
      <c r="O37" s="54">
        <v>46600</v>
      </c>
      <c r="P37" s="54">
        <v>46600</v>
      </c>
      <c r="Q37" s="54">
        <v>46600</v>
      </c>
      <c r="R37" s="54">
        <v>46600</v>
      </c>
      <c r="S37" s="54">
        <v>46600</v>
      </c>
      <c r="T37" s="54">
        <v>46600</v>
      </c>
      <c r="U37" s="3">
        <v>46600</v>
      </c>
    </row>
    <row r="38" spans="2:21" ht="17" thickBot="1">
      <c r="B38" s="317" t="s">
        <v>48</v>
      </c>
      <c r="C38" s="79"/>
      <c r="D38" s="79"/>
      <c r="E38" s="79"/>
      <c r="F38" s="79"/>
      <c r="G38" s="79"/>
      <c r="H38" s="79">
        <v>18294</v>
      </c>
      <c r="I38" s="79">
        <v>18294</v>
      </c>
      <c r="J38" s="79">
        <v>18294</v>
      </c>
      <c r="K38" s="79">
        <v>18294</v>
      </c>
      <c r="L38" s="79">
        <v>18294</v>
      </c>
      <c r="M38" s="79">
        <v>18294</v>
      </c>
      <c r="N38" s="79">
        <v>18294</v>
      </c>
      <c r="O38" s="79">
        <v>18294</v>
      </c>
      <c r="P38" s="79">
        <v>18294</v>
      </c>
      <c r="Q38" s="79">
        <v>18294</v>
      </c>
      <c r="R38" s="79">
        <v>18294</v>
      </c>
      <c r="S38" s="79">
        <v>18294</v>
      </c>
      <c r="T38" s="79">
        <v>18294</v>
      </c>
      <c r="U38" s="84">
        <v>18294</v>
      </c>
    </row>
  </sheetData>
  <mergeCells count="2">
    <mergeCell ref="B2:I2"/>
    <mergeCell ref="H26:J26"/>
  </mergeCells>
  <pageMargins left="0.7" right="0.7" top="0.75" bottom="0.75" header="0.3" footer="0.3"/>
  <pageSetup scale="44"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706-B6F2-4894-AD11-C1703597DFBD}">
  <sheetPr>
    <pageSetUpPr fitToPage="1"/>
  </sheetPr>
  <dimension ref="B1:C16"/>
  <sheetViews>
    <sheetView workbookViewId="0">
      <selection activeCell="C20" sqref="C20"/>
    </sheetView>
  </sheetViews>
  <sheetFormatPr baseColWidth="10" defaultColWidth="8.6640625" defaultRowHeight="15"/>
  <cols>
    <col min="2" max="2" width="44.1640625" customWidth="1"/>
    <col min="3" max="3" width="112.1640625" customWidth="1"/>
  </cols>
  <sheetData>
    <row r="1" spans="2:3" ht="16" thickBot="1"/>
    <row r="2" spans="2:3" ht="22" thickBot="1">
      <c r="B2" s="339" t="s">
        <v>187</v>
      </c>
      <c r="C2" s="340" t="s">
        <v>188</v>
      </c>
    </row>
    <row r="3" spans="2:3" ht="24.5" customHeight="1">
      <c r="B3" s="341" t="s">
        <v>189</v>
      </c>
      <c r="C3" s="342" t="s">
        <v>205</v>
      </c>
    </row>
    <row r="4" spans="2:3" ht="32.75" customHeight="1">
      <c r="B4" s="343" t="s">
        <v>190</v>
      </c>
      <c r="C4" s="344" t="s">
        <v>214</v>
      </c>
    </row>
    <row r="5" spans="2:3" ht="32.75" customHeight="1">
      <c r="B5" s="343" t="s">
        <v>263</v>
      </c>
      <c r="C5" s="447" t="s">
        <v>262</v>
      </c>
    </row>
    <row r="6" spans="2:3" ht="20.75" customHeight="1">
      <c r="B6" s="343" t="s">
        <v>191</v>
      </c>
      <c r="C6" s="344" t="s">
        <v>192</v>
      </c>
    </row>
    <row r="7" spans="2:3" ht="55.25" customHeight="1">
      <c r="B7" s="343" t="s">
        <v>193</v>
      </c>
      <c r="C7" s="344" t="s">
        <v>194</v>
      </c>
    </row>
    <row r="8" spans="2:3" ht="18.5" customHeight="1">
      <c r="B8" s="343" t="s">
        <v>195</v>
      </c>
      <c r="C8" s="344" t="s">
        <v>196</v>
      </c>
    </row>
    <row r="9" spans="2:3" ht="21" customHeight="1">
      <c r="B9" s="343" t="s">
        <v>197</v>
      </c>
      <c r="C9" s="344" t="s">
        <v>198</v>
      </c>
    </row>
    <row r="10" spans="2:3" ht="42" customHeight="1">
      <c r="B10" s="343" t="s">
        <v>199</v>
      </c>
      <c r="C10" s="344" t="s">
        <v>200</v>
      </c>
    </row>
    <row r="11" spans="2:3" ht="33" customHeight="1">
      <c r="B11" s="343" t="s">
        <v>201</v>
      </c>
      <c r="C11" s="344" t="s">
        <v>202</v>
      </c>
    </row>
    <row r="12" spans="2:3" ht="52.25" customHeight="1" thickBot="1">
      <c r="B12" s="345" t="s">
        <v>203</v>
      </c>
      <c r="C12" s="346" t="s">
        <v>204</v>
      </c>
    </row>
    <row r="13" spans="2:3" ht="53.75" customHeight="1"/>
    <row r="16" spans="2:3">
      <c r="C16" s="392"/>
    </row>
  </sheetData>
  <pageMargins left="0.7" right="0.7" top="0.75" bottom="0.75" header="0.3" footer="0.3"/>
  <pageSetup scale="73"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B73EE-8B25-40D7-ACDC-75E3E34CF3A7}">
  <dimension ref="B1:D42"/>
  <sheetViews>
    <sheetView zoomScale="115" zoomScaleNormal="115" workbookViewId="0">
      <selection activeCell="C25" sqref="C25"/>
    </sheetView>
  </sheetViews>
  <sheetFormatPr baseColWidth="10" defaultColWidth="8.6640625" defaultRowHeight="15"/>
  <cols>
    <col min="2" max="2" width="30.6640625" customWidth="1"/>
    <col min="3" max="4" width="23.1640625" customWidth="1"/>
    <col min="7" max="25" width="8.6640625" customWidth="1"/>
  </cols>
  <sheetData>
    <row r="1" spans="2:4" ht="16" thickBot="1"/>
    <row r="2" spans="2:4" ht="22" thickBot="1">
      <c r="B2" s="660" t="s">
        <v>169</v>
      </c>
      <c r="C2" s="661"/>
      <c r="D2" s="662"/>
    </row>
    <row r="3" spans="2:4" ht="20" thickBot="1">
      <c r="B3" s="663" t="s">
        <v>121</v>
      </c>
      <c r="C3" s="664"/>
      <c r="D3" s="665"/>
    </row>
    <row r="4" spans="2:4" ht="20" thickBot="1">
      <c r="B4" s="334" t="s">
        <v>185</v>
      </c>
      <c r="C4" s="335" t="s">
        <v>128</v>
      </c>
      <c r="D4" s="336" t="s">
        <v>129</v>
      </c>
    </row>
    <row r="5" spans="2:4" ht="16">
      <c r="B5" s="337" t="s">
        <v>106</v>
      </c>
      <c r="C5" s="347">
        <v>6.7101572294617599E-3</v>
      </c>
      <c r="D5" s="338" t="s">
        <v>170</v>
      </c>
    </row>
    <row r="6" spans="2:4" ht="16">
      <c r="B6" s="128" t="s">
        <v>107</v>
      </c>
      <c r="C6" s="119">
        <v>1.021E-2</v>
      </c>
      <c r="D6" s="329" t="s">
        <v>215</v>
      </c>
    </row>
    <row r="7" spans="2:4" ht="16">
      <c r="B7" s="128" t="s">
        <v>186</v>
      </c>
      <c r="C7" s="387">
        <f>(C5*0.9)+(C6*0.1)</f>
        <v>7.0601415065155845E-3</v>
      </c>
      <c r="D7" s="325" t="s">
        <v>215</v>
      </c>
    </row>
    <row r="8" spans="2:4" ht="16">
      <c r="B8" s="128" t="s">
        <v>211</v>
      </c>
      <c r="C8" s="388">
        <v>-0.8</v>
      </c>
      <c r="D8" s="325" t="s">
        <v>216</v>
      </c>
    </row>
    <row r="9" spans="2:4" ht="16">
      <c r="B9" s="128" t="s">
        <v>212</v>
      </c>
      <c r="C9" s="388">
        <v>-2.5</v>
      </c>
      <c r="D9" s="325" t="s">
        <v>216</v>
      </c>
    </row>
    <row r="10" spans="2:4" ht="17" thickBot="1">
      <c r="B10" s="389" t="s">
        <v>213</v>
      </c>
      <c r="C10" s="390">
        <v>-80</v>
      </c>
      <c r="D10" s="391" t="s">
        <v>216</v>
      </c>
    </row>
    <row r="11" spans="2:4" ht="20" thickBot="1">
      <c r="B11" s="666" t="s">
        <v>122</v>
      </c>
      <c r="C11" s="667"/>
      <c r="D11" s="668"/>
    </row>
    <row r="12" spans="2:4" ht="16">
      <c r="B12" s="322" t="s">
        <v>171</v>
      </c>
      <c r="C12" s="326">
        <v>7.6900000000000004E-4</v>
      </c>
      <c r="D12" s="323" t="s">
        <v>172</v>
      </c>
    </row>
    <row r="13" spans="2:4" ht="16.25" customHeight="1">
      <c r="B13" s="327" t="s">
        <v>173</v>
      </c>
      <c r="C13" s="328">
        <v>7.5900000000000002E-4</v>
      </c>
      <c r="D13" s="329" t="s">
        <v>172</v>
      </c>
    </row>
    <row r="14" spans="2:4" ht="17" customHeight="1">
      <c r="B14" s="327" t="s">
        <v>174</v>
      </c>
      <c r="C14" s="328">
        <v>7.4600000000000003E-4</v>
      </c>
      <c r="D14" s="329" t="s">
        <v>172</v>
      </c>
    </row>
    <row r="15" spans="2:4" ht="16">
      <c r="B15" s="327" t="s">
        <v>175</v>
      </c>
      <c r="C15" s="328">
        <v>7.8600000000000002E-4</v>
      </c>
      <c r="D15" s="329" t="s">
        <v>172</v>
      </c>
    </row>
    <row r="16" spans="2:4" ht="16">
      <c r="B16" s="327" t="s">
        <v>176</v>
      </c>
      <c r="C16" s="328">
        <v>7.36E-4</v>
      </c>
      <c r="D16" s="329" t="s">
        <v>172</v>
      </c>
    </row>
    <row r="17" spans="2:4" ht="16">
      <c r="B17" s="327" t="s">
        <v>177</v>
      </c>
      <c r="C17" s="328">
        <v>7.2599999999999997E-4</v>
      </c>
      <c r="D17" s="329" t="s">
        <v>172</v>
      </c>
    </row>
    <row r="18" spans="2:4" ht="16">
      <c r="B18" s="327" t="s">
        <v>178</v>
      </c>
      <c r="C18" s="328">
        <v>7.1400000000000001E-4</v>
      </c>
      <c r="D18" s="329" t="s">
        <v>172</v>
      </c>
    </row>
    <row r="19" spans="2:4" ht="16">
      <c r="B19" s="327" t="s">
        <v>179</v>
      </c>
      <c r="C19" s="328">
        <v>6.78E-4</v>
      </c>
      <c r="D19" s="329" t="s">
        <v>172</v>
      </c>
    </row>
    <row r="20" spans="2:4" ht="16">
      <c r="B20" s="327" t="s">
        <v>180</v>
      </c>
      <c r="C20" s="328">
        <v>6.8199999999999999E-4</v>
      </c>
      <c r="D20" s="329" t="s">
        <v>172</v>
      </c>
    </row>
    <row r="21" spans="2:4" ht="16">
      <c r="B21" s="327" t="s">
        <v>181</v>
      </c>
      <c r="C21" s="328">
        <v>6.9099999999999999E-4</v>
      </c>
      <c r="D21" s="329" t="s">
        <v>172</v>
      </c>
    </row>
    <row r="22" spans="2:4" ht="16">
      <c r="B22" s="327" t="s">
        <v>182</v>
      </c>
      <c r="C22" s="328">
        <v>6.4899999999999995E-4</v>
      </c>
      <c r="D22" s="329" t="s">
        <v>172</v>
      </c>
    </row>
    <row r="23" spans="2:4" ht="16">
      <c r="B23" s="327" t="s">
        <v>183</v>
      </c>
      <c r="C23" s="328">
        <v>5.2700000000000002E-4</v>
      </c>
      <c r="D23" s="329" t="s">
        <v>172</v>
      </c>
    </row>
    <row r="24" spans="2:4" ht="16">
      <c r="B24" s="324" t="s">
        <v>184</v>
      </c>
      <c r="C24" s="330">
        <v>6.02E-4</v>
      </c>
      <c r="D24" s="325" t="s">
        <v>172</v>
      </c>
    </row>
    <row r="25" spans="2:4" ht="17" thickBot="1">
      <c r="B25" s="576" t="s">
        <v>291</v>
      </c>
      <c r="C25" s="330">
        <v>5.2599999999999999E-4</v>
      </c>
      <c r="D25" s="325" t="s">
        <v>172</v>
      </c>
    </row>
    <row r="26" spans="2:4" ht="20" thickBot="1">
      <c r="B26" s="669" t="s">
        <v>123</v>
      </c>
      <c r="C26" s="670"/>
      <c r="D26" s="671"/>
    </row>
    <row r="27" spans="2:4" ht="17" thickBot="1">
      <c r="B27" s="331" t="s">
        <v>108</v>
      </c>
      <c r="C27" s="332">
        <v>3.1789999999999998</v>
      </c>
      <c r="D27" s="333" t="s">
        <v>217</v>
      </c>
    </row>
    <row r="42" ht="14.75" customHeight="1"/>
  </sheetData>
  <mergeCells count="4">
    <mergeCell ref="B2:D2"/>
    <mergeCell ref="B3:D3"/>
    <mergeCell ref="B11:D11"/>
    <mergeCell ref="B26:D26"/>
  </mergeCells>
  <pageMargins left="0.7" right="0.7" top="0.75" bottom="0.75" header="0.3" footer="0.3"/>
  <pageSetup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70C35-57B9-4874-AF23-9179701F473F}">
  <sheetPr>
    <pageSetUpPr fitToPage="1"/>
  </sheetPr>
  <dimension ref="A1:R75"/>
  <sheetViews>
    <sheetView zoomScale="85" zoomScaleNormal="85" workbookViewId="0">
      <selection activeCell="L49" sqref="L49"/>
    </sheetView>
  </sheetViews>
  <sheetFormatPr baseColWidth="10" defaultColWidth="8.6640625" defaultRowHeight="15"/>
  <cols>
    <col min="1" max="1" width="4.1640625" customWidth="1"/>
    <col min="2" max="2" width="49.33203125" customWidth="1"/>
    <col min="3" max="15" width="11.6640625" customWidth="1"/>
    <col min="16" max="16" width="11.33203125" customWidth="1"/>
    <col min="17" max="17" width="2.83203125" customWidth="1"/>
    <col min="18" max="18" width="13.6640625" bestFit="1" customWidth="1"/>
    <col min="20" max="20" width="17.1640625" customWidth="1"/>
  </cols>
  <sheetData>
    <row r="1" spans="2:16" ht="8" customHeight="1" thickBot="1"/>
    <row r="2" spans="2:16" ht="30" thickBot="1">
      <c r="B2" s="672" t="s">
        <v>277</v>
      </c>
      <c r="C2" s="673"/>
      <c r="D2" s="673"/>
      <c r="E2" s="673"/>
      <c r="F2" s="673"/>
      <c r="G2" s="673"/>
      <c r="H2" s="673"/>
      <c r="I2" s="673"/>
      <c r="J2" s="673"/>
      <c r="K2" s="673"/>
      <c r="L2" s="673"/>
      <c r="M2" s="673"/>
      <c r="N2" s="673"/>
      <c r="O2" s="673"/>
      <c r="P2" s="674"/>
    </row>
    <row r="3" spans="2:16">
      <c r="B3" s="153"/>
      <c r="C3" s="55"/>
      <c r="D3" s="55"/>
      <c r="F3" s="55"/>
      <c r="G3" s="55"/>
      <c r="H3" s="55"/>
      <c r="I3" s="55"/>
      <c r="J3" s="55"/>
      <c r="K3" s="55"/>
      <c r="L3" s="55"/>
      <c r="M3" s="55"/>
      <c r="N3" s="55"/>
      <c r="O3" s="55"/>
      <c r="P3" s="312"/>
    </row>
    <row r="4" spans="2:16" ht="22" thickBot="1">
      <c r="B4" s="154" t="s">
        <v>90</v>
      </c>
      <c r="C4" s="69">
        <v>2010</v>
      </c>
      <c r="D4" s="69">
        <f t="shared" ref="D4:P4" si="0">C4+1</f>
        <v>2011</v>
      </c>
      <c r="E4" s="69">
        <f t="shared" si="0"/>
        <v>2012</v>
      </c>
      <c r="F4" s="69">
        <f t="shared" si="0"/>
        <v>2013</v>
      </c>
      <c r="G4" s="69">
        <f t="shared" si="0"/>
        <v>2014</v>
      </c>
      <c r="H4" s="69">
        <f t="shared" si="0"/>
        <v>2015</v>
      </c>
      <c r="I4" s="69">
        <f t="shared" si="0"/>
        <v>2016</v>
      </c>
      <c r="J4" s="69">
        <f t="shared" si="0"/>
        <v>2017</v>
      </c>
      <c r="K4" s="69">
        <f t="shared" si="0"/>
        <v>2018</v>
      </c>
      <c r="L4" s="69">
        <f t="shared" si="0"/>
        <v>2019</v>
      </c>
      <c r="M4" s="69">
        <f t="shared" si="0"/>
        <v>2020</v>
      </c>
      <c r="N4" s="69">
        <f t="shared" si="0"/>
        <v>2021</v>
      </c>
      <c r="O4" s="69">
        <f t="shared" si="0"/>
        <v>2022</v>
      </c>
      <c r="P4" s="195">
        <f t="shared" si="0"/>
        <v>2023</v>
      </c>
    </row>
    <row r="5" spans="2:16" ht="20" thickBot="1">
      <c r="B5" s="165" t="s">
        <v>132</v>
      </c>
      <c r="C5" s="146" t="s">
        <v>141</v>
      </c>
      <c r="D5" s="54"/>
      <c r="E5" s="54"/>
      <c r="F5" s="54"/>
      <c r="G5" s="54"/>
      <c r="H5" s="54"/>
      <c r="I5" s="54"/>
      <c r="J5" s="54"/>
      <c r="K5" s="54"/>
      <c r="L5" s="54"/>
      <c r="M5" s="54"/>
      <c r="N5" s="54"/>
      <c r="O5" s="54"/>
      <c r="P5" s="594"/>
    </row>
    <row r="6" spans="2:16">
      <c r="B6" s="354" t="s">
        <v>91</v>
      </c>
      <c r="C6" s="351">
        <v>16885</v>
      </c>
      <c r="D6" s="351">
        <v>17148</v>
      </c>
      <c r="E6" s="351">
        <v>17118</v>
      </c>
      <c r="F6" s="351">
        <v>17290</v>
      </c>
      <c r="G6" s="351">
        <v>16903</v>
      </c>
      <c r="H6" s="351">
        <v>17316</v>
      </c>
      <c r="I6" s="352">
        <v>17557</v>
      </c>
      <c r="J6" s="352">
        <v>17893</v>
      </c>
      <c r="K6" s="352">
        <v>18108</v>
      </c>
      <c r="L6" s="352">
        <v>18188</v>
      </c>
      <c r="M6" s="352">
        <v>18115</v>
      </c>
      <c r="N6" s="351">
        <v>17781</v>
      </c>
      <c r="O6" s="351">
        <v>17519</v>
      </c>
      <c r="P6" s="597">
        <v>17395</v>
      </c>
    </row>
    <row r="7" spans="2:16" ht="16" thickBot="1">
      <c r="B7" s="355" t="s">
        <v>131</v>
      </c>
      <c r="C7" s="353">
        <v>3508673</v>
      </c>
      <c r="D7" s="353">
        <v>3508673</v>
      </c>
      <c r="E7" s="353">
        <v>3508673</v>
      </c>
      <c r="F7" s="353">
        <v>3508673</v>
      </c>
      <c r="G7" s="353">
        <v>3523885</v>
      </c>
      <c r="H7" s="353">
        <v>3523885</v>
      </c>
      <c r="I7" s="353">
        <v>3523885</v>
      </c>
      <c r="J7" s="353">
        <v>3523885</v>
      </c>
      <c r="K7" s="353">
        <v>3543221</v>
      </c>
      <c r="L7" s="353">
        <v>3568301</v>
      </c>
      <c r="M7" s="353">
        <v>3568301</v>
      </c>
      <c r="N7" s="353">
        <v>3568301</v>
      </c>
      <c r="O7" s="353">
        <v>3568301</v>
      </c>
      <c r="P7" s="596">
        <v>3560120</v>
      </c>
    </row>
    <row r="8" spans="2:16" ht="16" thickBot="1">
      <c r="B8" s="462"/>
      <c r="C8" s="62"/>
      <c r="D8" s="62"/>
      <c r="E8" s="62"/>
      <c r="F8" s="62"/>
      <c r="G8" s="62"/>
      <c r="H8" s="62"/>
      <c r="I8" s="62"/>
      <c r="J8" s="62"/>
      <c r="K8" s="62"/>
      <c r="L8" s="62"/>
      <c r="M8" s="62"/>
      <c r="N8" s="62"/>
      <c r="O8" s="589"/>
      <c r="P8" s="592"/>
    </row>
    <row r="9" spans="2:16" ht="23" customHeight="1" thickBot="1">
      <c r="B9" s="393" t="s">
        <v>121</v>
      </c>
      <c r="C9" s="151"/>
      <c r="D9" s="152"/>
      <c r="E9" s="152"/>
      <c r="F9" s="152"/>
      <c r="G9" s="152"/>
      <c r="H9" s="152"/>
      <c r="I9" s="152"/>
      <c r="J9" s="152"/>
      <c r="K9" s="152"/>
      <c r="L9" s="152"/>
      <c r="M9" s="152"/>
      <c r="N9" s="152"/>
      <c r="O9" s="152"/>
      <c r="P9" s="12"/>
    </row>
    <row r="10" spans="2:16" ht="18" customHeight="1">
      <c r="B10" s="154" t="s">
        <v>90</v>
      </c>
      <c r="C10" s="69">
        <v>2010</v>
      </c>
      <c r="D10" s="69">
        <f t="shared" ref="D10:P10" si="1">C10+1</f>
        <v>2011</v>
      </c>
      <c r="E10" s="69">
        <f t="shared" si="1"/>
        <v>2012</v>
      </c>
      <c r="F10" s="69">
        <f t="shared" si="1"/>
        <v>2013</v>
      </c>
      <c r="G10" s="69">
        <f t="shared" si="1"/>
        <v>2014</v>
      </c>
      <c r="H10" s="69">
        <f t="shared" si="1"/>
        <v>2015</v>
      </c>
      <c r="I10" s="69">
        <f t="shared" si="1"/>
        <v>2016</v>
      </c>
      <c r="J10" s="69">
        <f t="shared" si="1"/>
        <v>2017</v>
      </c>
      <c r="K10" s="69">
        <f t="shared" si="1"/>
        <v>2018</v>
      </c>
      <c r="L10" s="69">
        <f t="shared" si="1"/>
        <v>2019</v>
      </c>
      <c r="M10" s="69">
        <f t="shared" si="1"/>
        <v>2020</v>
      </c>
      <c r="N10" s="69">
        <f t="shared" si="1"/>
        <v>2021</v>
      </c>
      <c r="O10" s="69">
        <f t="shared" si="1"/>
        <v>2022</v>
      </c>
      <c r="P10" s="195">
        <f t="shared" si="1"/>
        <v>2023</v>
      </c>
    </row>
    <row r="11" spans="2:16" ht="16.25" customHeight="1">
      <c r="B11" s="120" t="s">
        <v>106</v>
      </c>
      <c r="C11" s="146" t="s">
        <v>141</v>
      </c>
      <c r="D11" s="54"/>
      <c r="E11" s="54"/>
      <c r="F11" s="54"/>
      <c r="G11" s="54"/>
      <c r="H11" s="54"/>
      <c r="I11" s="54"/>
      <c r="J11" s="54"/>
      <c r="K11" s="54"/>
      <c r="L11" s="54"/>
      <c r="M11" s="54"/>
      <c r="N11" s="54"/>
      <c r="O11" s="54"/>
      <c r="P11" s="3"/>
    </row>
    <row r="12" spans="2:16" ht="16.25" customHeight="1">
      <c r="B12" s="9" t="s">
        <v>114</v>
      </c>
      <c r="C12" s="71">
        <f>'Nat Gas'!H39</f>
        <v>1772686.74332527</v>
      </c>
      <c r="D12" s="71">
        <f>'Nat Gas'!I39</f>
        <v>1804651.7506015701</v>
      </c>
      <c r="E12" s="71">
        <f>'Nat Gas'!J39</f>
        <v>1445427.0804169499</v>
      </c>
      <c r="F12" s="71">
        <f>'Nat Gas'!K39</f>
        <v>1710107.70808273</v>
      </c>
      <c r="G12" s="71">
        <f>'Nat Gas'!L39</f>
        <v>1914477.3425804502</v>
      </c>
      <c r="H12" s="71">
        <f>'Nat Gas'!M39</f>
        <v>1790873.3157587</v>
      </c>
      <c r="I12" s="71">
        <f>'Nat Gas'!N39</f>
        <v>1479681.9868160998</v>
      </c>
      <c r="J12" s="71">
        <f>'Nat Gas'!O39</f>
        <v>1622030.53368448</v>
      </c>
      <c r="K12" s="71">
        <f>'Nat Gas'!P39</f>
        <v>1797194.0244179496</v>
      </c>
      <c r="L12" s="71">
        <f>'Nat Gas'!Q39</f>
        <v>1791985.1558273202</v>
      </c>
      <c r="M12" s="71">
        <f>'Nat Gas'!R39</f>
        <v>1703524.7275415</v>
      </c>
      <c r="N12" s="71">
        <f>'Nat Gas'!S39</f>
        <v>1648047.4243979801</v>
      </c>
      <c r="O12" s="71">
        <f>'Nat Gas'!T39</f>
        <v>1959516</v>
      </c>
      <c r="P12" s="87">
        <f>'Nat Gas'!U39</f>
        <v>1706295.7662900002</v>
      </c>
    </row>
    <row r="13" spans="2:16" ht="16.25" customHeight="1">
      <c r="B13" s="155" t="s">
        <v>218</v>
      </c>
      <c r="C13" s="134">
        <f>C12*0.005449534</f>
        <v>9660.3166791003314</v>
      </c>
      <c r="D13" s="134">
        <f t="shared" ref="D13:P13" si="2">D12*0.005449534</f>
        <v>9834.5110730627766</v>
      </c>
      <c r="E13" s="134">
        <f t="shared" si="2"/>
        <v>7876.9040192529028</v>
      </c>
      <c r="F13" s="134">
        <f t="shared" si="2"/>
        <v>9319.2900988589117</v>
      </c>
      <c r="G13" s="134">
        <f t="shared" si="2"/>
        <v>10433.00937062181</v>
      </c>
      <c r="H13" s="134">
        <f t="shared" si="2"/>
        <v>9759.4250239197718</v>
      </c>
      <c r="I13" s="134">
        <f t="shared" si="2"/>
        <v>8063.5772963418876</v>
      </c>
      <c r="J13" s="134">
        <f t="shared" si="2"/>
        <v>8839.3105423517191</v>
      </c>
      <c r="K13" s="134">
        <f t="shared" si="2"/>
        <v>9793.8699406624455</v>
      </c>
      <c r="L13" s="134">
        <f t="shared" si="2"/>
        <v>9765.4840341762792</v>
      </c>
      <c r="M13" s="134">
        <f t="shared" si="2"/>
        <v>9283.4159225781405</v>
      </c>
      <c r="N13" s="134">
        <f t="shared" si="2"/>
        <v>8981.0904728692221</v>
      </c>
      <c r="O13" s="134">
        <f>O12*0.005449534</f>
        <v>10678.449065544</v>
      </c>
      <c r="P13" s="196">
        <f t="shared" si="2"/>
        <v>9298.5167924534089</v>
      </c>
    </row>
    <row r="14" spans="2:16" ht="16.25" customHeight="1" thickBot="1">
      <c r="B14" s="156" t="s">
        <v>219</v>
      </c>
      <c r="C14" s="148">
        <f>C12*0.0012606232</f>
        <v>2234.6900349682805</v>
      </c>
      <c r="D14" s="148">
        <f t="shared" ref="D14:P14" si="3">D12*0.0012606232</f>
        <v>2274.9858647289534</v>
      </c>
      <c r="E14" s="148">
        <f t="shared" si="3"/>
        <v>1822.1389114818728</v>
      </c>
      <c r="F14" s="148">
        <f t="shared" si="3"/>
        <v>2155.801451307917</v>
      </c>
      <c r="G14" s="148">
        <f t="shared" si="3"/>
        <v>2413.4345539312635</v>
      </c>
      <c r="H14" s="148">
        <f t="shared" si="3"/>
        <v>2257.6164501063431</v>
      </c>
      <c r="I14" s="148">
        <f t="shared" si="3"/>
        <v>1865.3214412024697</v>
      </c>
      <c r="J14" s="148">
        <f t="shared" si="3"/>
        <v>2044.7693218710372</v>
      </c>
      <c r="K14" s="148">
        <f t="shared" si="3"/>
        <v>2265.5844820826337</v>
      </c>
      <c r="L14" s="148">
        <f t="shared" si="3"/>
        <v>2259.0180614915353</v>
      </c>
      <c r="M14" s="148">
        <f t="shared" si="3"/>
        <v>2147.5027933124938</v>
      </c>
      <c r="N14" s="148">
        <f t="shared" si="3"/>
        <v>2077.5668178963397</v>
      </c>
      <c r="O14" s="148">
        <f>O12*0.0012606232</f>
        <v>2470.2113303712003</v>
      </c>
      <c r="P14" s="197">
        <f t="shared" si="3"/>
        <v>2150.9960290469521</v>
      </c>
    </row>
    <row r="15" spans="2:16" ht="16.25" customHeight="1">
      <c r="B15" s="157" t="s">
        <v>232</v>
      </c>
      <c r="C15" s="147">
        <f>SUM(C13:C14)</f>
        <v>11895.006714068611</v>
      </c>
      <c r="D15" s="147">
        <f t="shared" ref="D15:P15" si="4">SUM(D13:D14)</f>
        <v>12109.49693779173</v>
      </c>
      <c r="E15" s="147">
        <f t="shared" si="4"/>
        <v>9699.0429307347749</v>
      </c>
      <c r="F15" s="147">
        <f t="shared" si="4"/>
        <v>11475.091550166828</v>
      </c>
      <c r="G15" s="147">
        <f t="shared" si="4"/>
        <v>12846.443924553074</v>
      </c>
      <c r="H15" s="147">
        <f t="shared" si="4"/>
        <v>12017.041474026115</v>
      </c>
      <c r="I15" s="147">
        <f t="shared" si="4"/>
        <v>9928.8987375443576</v>
      </c>
      <c r="J15" s="147">
        <f t="shared" si="4"/>
        <v>10884.079864222756</v>
      </c>
      <c r="K15" s="147">
        <f t="shared" si="4"/>
        <v>12059.454422745079</v>
      </c>
      <c r="L15" s="147">
        <f t="shared" si="4"/>
        <v>12024.502095667815</v>
      </c>
      <c r="M15" s="147">
        <f t="shared" si="4"/>
        <v>11430.918715890635</v>
      </c>
      <c r="N15" s="147">
        <f t="shared" si="4"/>
        <v>11058.657290765561</v>
      </c>
      <c r="O15" s="147">
        <f>SUM(O13:O14)</f>
        <v>13148.660395915202</v>
      </c>
      <c r="P15" s="198">
        <f t="shared" si="4"/>
        <v>11449.512821500361</v>
      </c>
    </row>
    <row r="16" spans="2:16" ht="16.25" customHeight="1">
      <c r="B16" s="9"/>
      <c r="C16" s="54"/>
      <c r="D16" s="54"/>
      <c r="E16" s="54"/>
      <c r="F16" s="54"/>
      <c r="G16" s="54"/>
      <c r="H16" s="54"/>
      <c r="I16" s="54"/>
      <c r="J16" s="54"/>
      <c r="K16" s="54"/>
      <c r="L16" s="54"/>
      <c r="M16" s="54"/>
      <c r="N16" s="54"/>
      <c r="O16" s="54"/>
      <c r="P16" s="3"/>
    </row>
    <row r="17" spans="2:18" ht="16.25" customHeight="1">
      <c r="B17" s="120" t="s">
        <v>118</v>
      </c>
      <c r="C17" s="54"/>
      <c r="D17" s="54"/>
      <c r="E17" s="54"/>
      <c r="F17" s="54"/>
      <c r="G17" s="54"/>
      <c r="H17" s="54"/>
      <c r="I17" s="54"/>
      <c r="J17" s="54"/>
      <c r="K17" s="54"/>
      <c r="L17" s="54"/>
      <c r="M17" s="54"/>
      <c r="N17" s="54"/>
      <c r="O17" s="54"/>
      <c r="P17" s="3"/>
      <c r="R17" t="s">
        <v>130</v>
      </c>
    </row>
    <row r="18" spans="2:18" ht="16.25" customHeight="1">
      <c r="B18" s="9" t="s">
        <v>115</v>
      </c>
      <c r="C18" s="71">
        <f>Transportation!G6</f>
        <v>227006.4</v>
      </c>
      <c r="D18" s="71">
        <f>Transportation!H6</f>
        <v>306992.37588652485</v>
      </c>
      <c r="E18" s="71">
        <f>Transportation!I6</f>
        <v>272303.54609929078</v>
      </c>
      <c r="F18" s="71">
        <f>Transportation!J6</f>
        <v>246504.0780141844</v>
      </c>
      <c r="G18" s="71">
        <f>Transportation!K6</f>
        <v>220159.39716312059</v>
      </c>
      <c r="H18" s="71">
        <f>Transportation!L6</f>
        <v>211010.72695035461</v>
      </c>
      <c r="I18" s="71">
        <f>Transportation!M6</f>
        <v>211010.72695035461</v>
      </c>
      <c r="J18" s="71">
        <f>Transportation!N6</f>
        <v>205150</v>
      </c>
      <c r="K18" s="71">
        <f>Transportation!O6</f>
        <v>209537</v>
      </c>
      <c r="L18" s="71">
        <f>Transportation!P6</f>
        <v>163147</v>
      </c>
      <c r="M18" s="71">
        <f>Transportation!Q6</f>
        <v>128507</v>
      </c>
      <c r="N18" s="71">
        <f>Transportation!R6</f>
        <v>37686</v>
      </c>
      <c r="O18" s="71">
        <f>Transportation!S6</f>
        <v>137993</v>
      </c>
      <c r="P18" s="87">
        <f>Transportation!T6</f>
        <v>170971</v>
      </c>
    </row>
    <row r="19" spans="2:18" ht="16.25" customHeight="1">
      <c r="B19" s="9" t="s">
        <v>116</v>
      </c>
      <c r="C19" s="71">
        <f>Transportation!C5</f>
        <v>1680351</v>
      </c>
      <c r="D19" s="71">
        <f>Transportation!D5</f>
        <v>1329584</v>
      </c>
      <c r="E19" s="71">
        <f>Transportation!E5</f>
        <v>1337044</v>
      </c>
      <c r="F19" s="71">
        <f>Transportation!F5</f>
        <v>1355102</v>
      </c>
      <c r="G19" s="71">
        <f>Transportation!G5</f>
        <v>1280101</v>
      </c>
      <c r="H19" s="71">
        <f>Transportation!H5</f>
        <v>1731437</v>
      </c>
      <c r="I19" s="71">
        <f>Transportation!I5</f>
        <v>1535792</v>
      </c>
      <c r="J19" s="71">
        <f>Transportation!J5</f>
        <v>1390283</v>
      </c>
      <c r="K19" s="71">
        <f>Transportation!K5</f>
        <v>1241699</v>
      </c>
      <c r="L19" s="71">
        <f>Transportation!L5</f>
        <v>1190100.5</v>
      </c>
      <c r="M19" s="71">
        <f>Transportation!M5</f>
        <v>1190100.5</v>
      </c>
      <c r="N19" s="71">
        <f>Transportation!N5</f>
        <v>1138502</v>
      </c>
      <c r="O19" s="71">
        <f>Transportation!O5</f>
        <v>1598087</v>
      </c>
      <c r="P19" s="87">
        <f>Transportation!P5</f>
        <v>1553789</v>
      </c>
    </row>
    <row r="20" spans="2:18" ht="16.25" customHeight="1" thickBot="1">
      <c r="B20" s="88" t="s">
        <v>117</v>
      </c>
      <c r="C20" s="149">
        <f>C19/C18</f>
        <v>7.4022186158628127</v>
      </c>
      <c r="D20" s="149">
        <f t="shared" ref="D20:P20" si="5">D19/D18</f>
        <v>4.3310000652637086</v>
      </c>
      <c r="E20" s="149">
        <f t="shared" si="5"/>
        <v>4.9101233500369839</v>
      </c>
      <c r="F20" s="149">
        <f t="shared" si="5"/>
        <v>5.4972802515746793</v>
      </c>
      <c r="G20" s="149">
        <f t="shared" si="5"/>
        <v>5.8144281665685478</v>
      </c>
      <c r="H20" s="149">
        <f t="shared" si="5"/>
        <v>8.2054454056611181</v>
      </c>
      <c r="I20" s="149">
        <f t="shared" si="5"/>
        <v>7.2782650540857681</v>
      </c>
      <c r="J20" s="149">
        <f t="shared" si="5"/>
        <v>6.7769095783572997</v>
      </c>
      <c r="K20" s="149">
        <f t="shared" si="5"/>
        <v>5.9259176183681168</v>
      </c>
      <c r="L20" s="149">
        <f t="shared" si="5"/>
        <v>7.2946514493064534</v>
      </c>
      <c r="M20" s="150">
        <f t="shared" si="5"/>
        <v>9.260978001198378</v>
      </c>
      <c r="N20" s="149">
        <f t="shared" si="5"/>
        <v>30.210210688319268</v>
      </c>
      <c r="O20" s="149">
        <f t="shared" si="5"/>
        <v>11.580928018087874</v>
      </c>
      <c r="P20" s="598">
        <f t="shared" si="5"/>
        <v>9.0880266243982906</v>
      </c>
    </row>
    <row r="21" spans="2:18" ht="16.25" customHeight="1">
      <c r="B21" s="158" t="s">
        <v>220</v>
      </c>
      <c r="C21" s="147">
        <f>C18*0.01021</f>
        <v>2317.7353440000002</v>
      </c>
      <c r="D21" s="147">
        <f t="shared" ref="D21:M21" si="6">D18*0.01021</f>
        <v>3134.3921578014188</v>
      </c>
      <c r="E21" s="147">
        <f t="shared" si="6"/>
        <v>2780.219205673759</v>
      </c>
      <c r="F21" s="147">
        <f t="shared" si="6"/>
        <v>2516.8066365248228</v>
      </c>
      <c r="G21" s="147">
        <f t="shared" si="6"/>
        <v>2247.8274450354616</v>
      </c>
      <c r="H21" s="147">
        <f t="shared" si="6"/>
        <v>2154.4195221631207</v>
      </c>
      <c r="I21" s="147">
        <f t="shared" si="6"/>
        <v>2154.4195221631207</v>
      </c>
      <c r="J21" s="147">
        <f t="shared" si="6"/>
        <v>2094.5815000000002</v>
      </c>
      <c r="K21" s="147">
        <f t="shared" si="6"/>
        <v>2139.3727699999999</v>
      </c>
      <c r="L21" s="147">
        <f t="shared" si="6"/>
        <v>1665.7308700000001</v>
      </c>
      <c r="M21" s="147">
        <f t="shared" si="6"/>
        <v>1312.05647</v>
      </c>
      <c r="N21" s="147">
        <f>N18*0.01021</f>
        <v>384.77406000000002</v>
      </c>
      <c r="O21" s="147">
        <f>O18*0.01021</f>
        <v>1408.9085300000002</v>
      </c>
      <c r="P21" s="198">
        <f>P18*0.01021</f>
        <v>1745.61391</v>
      </c>
    </row>
    <row r="22" spans="2:18" ht="16.25" customHeight="1">
      <c r="B22" s="9"/>
      <c r="C22" s="134"/>
      <c r="D22" s="134"/>
      <c r="E22" s="134"/>
      <c r="F22" s="134"/>
      <c r="G22" s="134"/>
      <c r="H22" s="134"/>
      <c r="I22" s="134"/>
      <c r="J22" s="134"/>
      <c r="K22" s="134"/>
      <c r="L22" s="134"/>
      <c r="M22" s="134"/>
      <c r="N22" s="134"/>
      <c r="O22" s="134"/>
      <c r="P22" s="196"/>
    </row>
    <row r="23" spans="2:18" ht="16.25" customHeight="1">
      <c r="B23" s="120" t="s">
        <v>119</v>
      </c>
      <c r="C23" s="134"/>
      <c r="D23" s="134"/>
      <c r="E23" s="134"/>
      <c r="F23" s="133" t="s">
        <v>142</v>
      </c>
      <c r="G23" s="134"/>
      <c r="H23" s="134"/>
      <c r="I23" s="134"/>
      <c r="J23" s="134"/>
      <c r="K23" s="134"/>
      <c r="L23" s="134"/>
      <c r="M23" s="134"/>
      <c r="N23" s="134"/>
      <c r="O23" s="134"/>
      <c r="P23" s="196"/>
    </row>
    <row r="24" spans="2:18" ht="16.25" customHeight="1">
      <c r="B24" s="9" t="s">
        <v>159</v>
      </c>
      <c r="C24" s="135">
        <f t="shared" ref="C24:I24" si="7">D24</f>
        <v>8694</v>
      </c>
      <c r="D24" s="135">
        <f t="shared" si="7"/>
        <v>8694</v>
      </c>
      <c r="E24" s="135">
        <f t="shared" si="7"/>
        <v>8694</v>
      </c>
      <c r="F24" s="135">
        <f t="shared" si="7"/>
        <v>8694</v>
      </c>
      <c r="G24" s="135">
        <f t="shared" si="7"/>
        <v>8694</v>
      </c>
      <c r="H24" s="135">
        <f t="shared" si="7"/>
        <v>8694</v>
      </c>
      <c r="I24" s="135">
        <f t="shared" si="7"/>
        <v>8694</v>
      </c>
      <c r="J24" s="135">
        <f>K24</f>
        <v>8694</v>
      </c>
      <c r="K24" s="135">
        <f>AVERAGE(L24,N24,O24)</f>
        <v>8694</v>
      </c>
      <c r="L24" s="54">
        <f>Transportation!P13</f>
        <v>11033</v>
      </c>
      <c r="M24" s="54">
        <f>Transportation!Q13</f>
        <v>0</v>
      </c>
      <c r="N24" s="54">
        <f>Transportation!R13</f>
        <v>5999</v>
      </c>
      <c r="O24" s="54">
        <f>Transportation!S13</f>
        <v>9050</v>
      </c>
      <c r="P24" s="623">
        <f>Transportation!T13</f>
        <v>7525</v>
      </c>
    </row>
    <row r="25" spans="2:18" ht="16.25" customHeight="1">
      <c r="B25" s="93" t="s">
        <v>221</v>
      </c>
      <c r="C25" s="136">
        <f t="shared" ref="C25:K25" si="8">C24*0.008477</f>
        <v>73.699038000000002</v>
      </c>
      <c r="D25" s="136">
        <f t="shared" si="8"/>
        <v>73.699038000000002</v>
      </c>
      <c r="E25" s="136">
        <f t="shared" si="8"/>
        <v>73.699038000000002</v>
      </c>
      <c r="F25" s="136">
        <f t="shared" si="8"/>
        <v>73.699038000000002</v>
      </c>
      <c r="G25" s="136">
        <f t="shared" si="8"/>
        <v>73.699038000000002</v>
      </c>
      <c r="H25" s="136">
        <f t="shared" si="8"/>
        <v>73.699038000000002</v>
      </c>
      <c r="I25" s="136">
        <f t="shared" si="8"/>
        <v>73.699038000000002</v>
      </c>
      <c r="J25" s="136">
        <f t="shared" si="8"/>
        <v>73.699038000000002</v>
      </c>
      <c r="K25" s="136">
        <f t="shared" si="8"/>
        <v>73.699038000000002</v>
      </c>
      <c r="L25" s="137">
        <f>L24*0.008477</f>
        <v>93.526741000000001</v>
      </c>
      <c r="M25" s="137">
        <f>M24*0.008477</f>
        <v>0</v>
      </c>
      <c r="N25" s="137">
        <f>N24*0.008477</f>
        <v>50.853523000000003</v>
      </c>
      <c r="O25" s="137">
        <f>O24*0.008477</f>
        <v>76.716850000000008</v>
      </c>
      <c r="P25" s="621">
        <f>P24*0.008477</f>
        <v>63.789425000000001</v>
      </c>
    </row>
    <row r="26" spans="2:18" ht="16.25" customHeight="1">
      <c r="B26" s="120" t="s">
        <v>127</v>
      </c>
      <c r="C26" s="54"/>
      <c r="D26" s="54"/>
      <c r="E26" s="54"/>
      <c r="F26" s="54"/>
      <c r="G26" s="54"/>
      <c r="H26" s="54"/>
      <c r="I26" s="54"/>
      <c r="J26" s="54"/>
      <c r="K26" s="54"/>
      <c r="L26" s="54"/>
      <c r="M26" s="54"/>
      <c r="N26" s="54"/>
      <c r="O26" s="54"/>
      <c r="P26" s="3"/>
    </row>
    <row r="27" spans="2:18" ht="16.25" customHeight="1">
      <c r="B27" s="9" t="s">
        <v>153</v>
      </c>
      <c r="C27" s="138">
        <f t="shared" ref="C27:I27" si="9">D27</f>
        <v>779.23333333333323</v>
      </c>
      <c r="D27" s="138">
        <f t="shared" si="9"/>
        <v>779.23333333333323</v>
      </c>
      <c r="E27" s="138">
        <f t="shared" si="9"/>
        <v>779.23333333333323</v>
      </c>
      <c r="F27" s="138">
        <f t="shared" si="9"/>
        <v>779.23333333333323</v>
      </c>
      <c r="G27" s="138">
        <f t="shared" si="9"/>
        <v>779.23333333333323</v>
      </c>
      <c r="H27" s="138">
        <f t="shared" si="9"/>
        <v>779.23333333333323</v>
      </c>
      <c r="I27" s="138">
        <f t="shared" si="9"/>
        <v>779.23333333333323</v>
      </c>
      <c r="J27" s="138">
        <f>K27</f>
        <v>779.23333333333323</v>
      </c>
      <c r="K27" s="138">
        <f>AVERAGE(L27,N27,O27)</f>
        <v>779.23333333333323</v>
      </c>
      <c r="L27" s="139">
        <f>Transportation!P17</f>
        <v>559.5</v>
      </c>
      <c r="M27" s="139">
        <f>Transportation!Q17</f>
        <v>0</v>
      </c>
      <c r="N27" s="139">
        <f>Transportation!R17</f>
        <v>1493.1</v>
      </c>
      <c r="O27" s="139">
        <f>Transportation!S17</f>
        <v>285.10000000000002</v>
      </c>
      <c r="P27" s="624">
        <f>Transportation!T17</f>
        <v>889</v>
      </c>
    </row>
    <row r="28" spans="2:18" ht="16.25" customHeight="1">
      <c r="B28" s="93" t="s">
        <v>157</v>
      </c>
      <c r="C28" s="140">
        <f t="shared" ref="C28:K28" si="10">C27*0.01021</f>
        <v>7.9559723333333325</v>
      </c>
      <c r="D28" s="140">
        <f t="shared" si="10"/>
        <v>7.9559723333333325</v>
      </c>
      <c r="E28" s="140">
        <f t="shared" si="10"/>
        <v>7.9559723333333325</v>
      </c>
      <c r="F28" s="140">
        <f t="shared" si="10"/>
        <v>7.9559723333333325</v>
      </c>
      <c r="G28" s="140">
        <f t="shared" si="10"/>
        <v>7.9559723333333325</v>
      </c>
      <c r="H28" s="140">
        <f t="shared" si="10"/>
        <v>7.9559723333333325</v>
      </c>
      <c r="I28" s="140">
        <f t="shared" si="10"/>
        <v>7.9559723333333325</v>
      </c>
      <c r="J28" s="140">
        <f t="shared" si="10"/>
        <v>7.9559723333333325</v>
      </c>
      <c r="K28" s="140">
        <f t="shared" si="10"/>
        <v>7.9559723333333325</v>
      </c>
      <c r="L28" s="141">
        <f>L27*0.01021</f>
        <v>5.7124950000000005</v>
      </c>
      <c r="M28" s="141">
        <f>M27*0.01021</f>
        <v>0</v>
      </c>
      <c r="N28" s="141">
        <f>N27*0.01021</f>
        <v>15.244551</v>
      </c>
      <c r="O28" s="141">
        <f>O27*0.01021</f>
        <v>2.9108710000000002</v>
      </c>
      <c r="P28" s="622">
        <f>P27*0.01021</f>
        <v>9.076690000000001</v>
      </c>
    </row>
    <row r="29" spans="2:18" ht="16.25" customHeight="1">
      <c r="B29" s="9"/>
      <c r="C29" s="54"/>
      <c r="D29" s="54"/>
      <c r="E29" s="54"/>
      <c r="F29" s="54"/>
      <c r="G29" s="54"/>
      <c r="H29" s="54"/>
      <c r="I29" s="54"/>
      <c r="J29" s="54"/>
      <c r="K29" s="54"/>
      <c r="L29" s="54"/>
      <c r="M29" s="54"/>
      <c r="N29" s="54"/>
      <c r="O29" s="54"/>
      <c r="P29" s="3"/>
    </row>
    <row r="30" spans="2:18" ht="16.25" customHeight="1">
      <c r="B30" s="120" t="s">
        <v>111</v>
      </c>
      <c r="C30" s="54"/>
      <c r="D30" s="54"/>
      <c r="E30" s="54"/>
      <c r="F30" s="54"/>
      <c r="G30" s="54"/>
      <c r="H30" s="54"/>
      <c r="I30" s="54"/>
      <c r="J30" s="54"/>
      <c r="K30" s="54"/>
      <c r="L30" s="54"/>
      <c r="M30" s="54"/>
      <c r="N30" s="54"/>
      <c r="O30" s="54"/>
      <c r="P30" s="3"/>
    </row>
    <row r="31" spans="2:18" ht="16.25" customHeight="1">
      <c r="B31" s="93" t="s">
        <v>222</v>
      </c>
      <c r="C31" s="142">
        <f t="shared" ref="C31:M31" si="11">D31</f>
        <v>-2242.9208374999998</v>
      </c>
      <c r="D31" s="142">
        <f t="shared" si="11"/>
        <v>-2242.9208374999998</v>
      </c>
      <c r="E31" s="142">
        <f t="shared" si="11"/>
        <v>-2242.9208374999998</v>
      </c>
      <c r="F31" s="142">
        <f t="shared" si="11"/>
        <v>-2242.9208374999998</v>
      </c>
      <c r="G31" s="142">
        <f t="shared" si="11"/>
        <v>-2242.9208374999998</v>
      </c>
      <c r="H31" s="142">
        <f t="shared" si="11"/>
        <v>-2242.9208374999998</v>
      </c>
      <c r="I31" s="142">
        <f t="shared" si="11"/>
        <v>-2242.9208374999998</v>
      </c>
      <c r="J31" s="142">
        <f t="shared" si="11"/>
        <v>-2242.9208374999998</v>
      </c>
      <c r="K31" s="142">
        <f t="shared" si="11"/>
        <v>-2242.9208374999998</v>
      </c>
      <c r="L31" s="142">
        <f t="shared" si="11"/>
        <v>-2242.9208374999998</v>
      </c>
      <c r="M31" s="142">
        <f t="shared" si="11"/>
        <v>-2242.9208374999998</v>
      </c>
      <c r="N31" s="142">
        <f>O31</f>
        <v>-2242.9208374999998</v>
      </c>
      <c r="O31" s="142">
        <v>-2242.9208374999998</v>
      </c>
      <c r="P31" s="571">
        <v>-2243</v>
      </c>
    </row>
    <row r="32" spans="2:18" ht="16.25" customHeight="1" thickBot="1">
      <c r="B32" s="159"/>
      <c r="C32" s="144"/>
      <c r="D32" s="144"/>
      <c r="E32" s="144"/>
      <c r="F32" s="144"/>
      <c r="G32" s="144"/>
      <c r="H32" s="144"/>
      <c r="I32" s="144"/>
      <c r="J32" s="144"/>
      <c r="K32" s="144"/>
      <c r="L32" s="144"/>
      <c r="M32" s="144"/>
      <c r="N32" s="144"/>
      <c r="O32" s="144"/>
      <c r="P32" s="3"/>
    </row>
    <row r="33" spans="2:16" ht="18" customHeight="1" thickBot="1">
      <c r="B33" s="59" t="s">
        <v>143</v>
      </c>
      <c r="C33" s="163">
        <f>C31+C28+C25+C21+C15</f>
        <v>12051.476230901946</v>
      </c>
      <c r="D33" s="164">
        <f t="shared" ref="D33:O33" si="12">D31+D28+D25+D21+D15</f>
        <v>13082.623268426481</v>
      </c>
      <c r="E33" s="164">
        <f t="shared" si="12"/>
        <v>10317.996309241867</v>
      </c>
      <c r="F33" s="164">
        <f t="shared" si="12"/>
        <v>11830.632359524985</v>
      </c>
      <c r="G33" s="164">
        <f t="shared" si="12"/>
        <v>12933.00554242187</v>
      </c>
      <c r="H33" s="164">
        <f t="shared" si="12"/>
        <v>12010.195169022569</v>
      </c>
      <c r="I33" s="164">
        <f t="shared" si="12"/>
        <v>9922.0524325408114</v>
      </c>
      <c r="J33" s="164">
        <f t="shared" si="12"/>
        <v>10817.395537056091</v>
      </c>
      <c r="K33" s="164">
        <f t="shared" si="12"/>
        <v>12037.561365578413</v>
      </c>
      <c r="L33" s="164">
        <f t="shared" si="12"/>
        <v>11546.551364167815</v>
      </c>
      <c r="M33" s="164">
        <f t="shared" si="12"/>
        <v>10500.054348390635</v>
      </c>
      <c r="N33" s="164">
        <f t="shared" si="12"/>
        <v>9266.6085872655603</v>
      </c>
      <c r="O33" s="164">
        <f t="shared" si="12"/>
        <v>12394.275809415201</v>
      </c>
      <c r="P33" s="199">
        <f>P31+P28+P25+P21+P15</f>
        <v>11024.992846500361</v>
      </c>
    </row>
    <row r="34" spans="2:16" ht="16.25" customHeight="1">
      <c r="B34" s="160" t="s">
        <v>282</v>
      </c>
      <c r="C34" s="145">
        <f t="shared" ref="C34:O34" si="13">C33/C6</f>
        <v>0.71373859821746799</v>
      </c>
      <c r="D34" s="145">
        <f t="shared" si="13"/>
        <v>0.76292414674752052</v>
      </c>
      <c r="E34" s="145">
        <f t="shared" si="13"/>
        <v>0.60275711585710179</v>
      </c>
      <c r="F34" s="145">
        <f t="shared" si="13"/>
        <v>0.68424710003036349</v>
      </c>
      <c r="G34" s="145">
        <f t="shared" si="13"/>
        <v>0.7651307781116885</v>
      </c>
      <c r="H34" s="145">
        <f t="shared" si="13"/>
        <v>0.69358946460051796</v>
      </c>
      <c r="I34" s="145">
        <f t="shared" si="13"/>
        <v>0.56513370351089653</v>
      </c>
      <c r="J34" s="145">
        <f t="shared" si="13"/>
        <v>0.60456019320718102</v>
      </c>
      <c r="K34" s="145">
        <f t="shared" si="13"/>
        <v>0.6647648202771379</v>
      </c>
      <c r="L34" s="145">
        <f t="shared" si="13"/>
        <v>0.63484447790674159</v>
      </c>
      <c r="M34" s="145">
        <f t="shared" si="13"/>
        <v>0.5796331409544927</v>
      </c>
      <c r="N34" s="145">
        <f t="shared" si="13"/>
        <v>0.5211522741839919</v>
      </c>
      <c r="O34" s="145">
        <f t="shared" si="13"/>
        <v>0.70747621493322688</v>
      </c>
      <c r="P34" s="200">
        <f>P33/P6</f>
        <v>0.63380240566256751</v>
      </c>
    </row>
    <row r="35" spans="2:16" ht="16.25" customHeight="1" thickBot="1">
      <c r="B35" s="168" t="s">
        <v>134</v>
      </c>
      <c r="C35" s="169">
        <f t="shared" ref="C35:O35" si="14">C33*1000/C7</f>
        <v>3.4347675690786645</v>
      </c>
      <c r="D35" s="169">
        <f t="shared" si="14"/>
        <v>3.7286527608661397</v>
      </c>
      <c r="E35" s="169">
        <f t="shared" si="14"/>
        <v>2.9407118615048673</v>
      </c>
      <c r="F35" s="169">
        <f t="shared" si="14"/>
        <v>3.3718252910787028</v>
      </c>
      <c r="G35" s="169">
        <f t="shared" si="14"/>
        <v>3.6700986389799524</v>
      </c>
      <c r="H35" s="169">
        <f t="shared" si="14"/>
        <v>3.4082256285385504</v>
      </c>
      <c r="I35" s="169">
        <f t="shared" si="14"/>
        <v>2.8156572738726751</v>
      </c>
      <c r="J35" s="169">
        <f t="shared" si="14"/>
        <v>3.0697356857718372</v>
      </c>
      <c r="K35" s="169">
        <f t="shared" si="14"/>
        <v>3.3973498592321545</v>
      </c>
      <c r="L35" s="169">
        <f t="shared" si="14"/>
        <v>3.2358680963763469</v>
      </c>
      <c r="M35" s="169">
        <f t="shared" si="14"/>
        <v>2.9425921043069616</v>
      </c>
      <c r="N35" s="169">
        <f t="shared" si="14"/>
        <v>2.5969245832303836</v>
      </c>
      <c r="O35" s="169">
        <f t="shared" si="14"/>
        <v>3.4734389866256241</v>
      </c>
      <c r="P35" s="201">
        <f>P33*1000/P7</f>
        <v>3.0968037163074169</v>
      </c>
    </row>
    <row r="36" spans="2:16" ht="5" customHeight="1">
      <c r="B36" s="132"/>
      <c r="C36" s="131"/>
      <c r="D36" s="131"/>
      <c r="E36" s="131"/>
      <c r="F36" s="131"/>
      <c r="G36" s="131"/>
      <c r="H36" s="131"/>
      <c r="I36" s="131"/>
      <c r="J36" s="131"/>
      <c r="K36" s="131"/>
      <c r="L36" s="131"/>
      <c r="M36" s="131"/>
      <c r="N36" s="131"/>
      <c r="O36" s="131"/>
      <c r="P36" s="131"/>
    </row>
    <row r="37" spans="2:16" ht="16.25" customHeight="1">
      <c r="B37" s="132"/>
      <c r="C37" s="131"/>
      <c r="D37" s="131"/>
      <c r="E37" s="131"/>
      <c r="F37" s="131"/>
      <c r="G37" s="131"/>
      <c r="H37" s="131"/>
      <c r="I37" s="131"/>
      <c r="J37" s="131"/>
      <c r="K37" s="131"/>
      <c r="L37" s="131"/>
      <c r="M37" s="131"/>
      <c r="N37" s="131"/>
      <c r="O37" s="131"/>
      <c r="P37" s="131"/>
    </row>
    <row r="38" spans="2:16" ht="16.25" customHeight="1">
      <c r="B38" s="58"/>
      <c r="N38" s="191"/>
      <c r="O38" s="191"/>
      <c r="P38" s="98"/>
    </row>
    <row r="39" spans="2:16" ht="16.25" customHeight="1">
      <c r="P39" s="98"/>
    </row>
    <row r="40" spans="2:16" ht="16.25" customHeight="1">
      <c r="P40" s="98"/>
    </row>
    <row r="41" spans="2:16" ht="16.25" customHeight="1">
      <c r="P41" s="98"/>
    </row>
    <row r="42" spans="2:16" ht="16.25" customHeight="1"/>
    <row r="43" spans="2:16" ht="16.25" customHeight="1"/>
    <row r="44" spans="2:16" ht="16.25" customHeight="1"/>
    <row r="45" spans="2:16" ht="16.25" customHeight="1"/>
    <row r="46" spans="2:16" ht="16.25" customHeight="1"/>
    <row r="47" spans="2:16" ht="16.25" customHeight="1"/>
    <row r="48" spans="2:16" ht="16.25" customHeight="1"/>
    <row r="49" spans="1:16" ht="16.25" customHeight="1"/>
    <row r="50" spans="1:16" ht="16.25" customHeight="1"/>
    <row r="51" spans="1:16" ht="16.25" customHeight="1">
      <c r="B51" s="57"/>
    </row>
    <row r="52" spans="1:16" ht="16.25" customHeight="1"/>
    <row r="53" spans="1:16" ht="16.25" customHeight="1"/>
    <row r="54" spans="1:16" ht="16.25" customHeight="1"/>
    <row r="55" spans="1:16" ht="16.25" customHeight="1"/>
    <row r="56" spans="1:16" ht="16.25" customHeight="1"/>
    <row r="57" spans="1:16" ht="16.25" customHeight="1"/>
    <row r="58" spans="1:16" ht="16.25" customHeight="1"/>
    <row r="59" spans="1:16" ht="19.25" customHeight="1">
      <c r="A59" s="278"/>
      <c r="B59" s="278"/>
      <c r="C59" s="278"/>
      <c r="D59" s="278"/>
      <c r="E59" s="278"/>
      <c r="F59" s="278"/>
      <c r="G59" s="278"/>
    </row>
    <row r="60" spans="1:16" ht="16.25" customHeight="1">
      <c r="A60" s="61"/>
      <c r="C60" s="279"/>
      <c r="D60" s="279"/>
      <c r="E60" s="279"/>
      <c r="F60" s="279"/>
      <c r="G60" s="279"/>
    </row>
    <row r="61" spans="1:16" ht="16.25" customHeight="1">
      <c r="A61" s="1"/>
      <c r="B61" s="277"/>
    </row>
    <row r="62" spans="1:16" ht="16.25" customHeight="1">
      <c r="A62" s="1"/>
      <c r="B62" s="277"/>
    </row>
    <row r="63" spans="1:16" ht="16.25" customHeight="1">
      <c r="A63" s="1"/>
      <c r="B63" s="277"/>
    </row>
    <row r="64" spans="1:16" ht="16.25" customHeight="1">
      <c r="A64" s="1"/>
      <c r="B64" s="277"/>
      <c r="C64" s="30"/>
      <c r="D64" s="30"/>
      <c r="E64" s="30"/>
      <c r="F64" s="30"/>
      <c r="G64" s="30"/>
      <c r="H64" s="30"/>
      <c r="I64" s="30"/>
      <c r="J64" s="30"/>
      <c r="K64" s="30"/>
      <c r="L64" s="30"/>
      <c r="N64" s="30"/>
      <c r="O64" s="30"/>
      <c r="P64" s="30"/>
    </row>
    <row r="65" spans="1:2" ht="16.25" customHeight="1">
      <c r="A65" s="1"/>
      <c r="B65" s="277"/>
    </row>
    <row r="66" spans="1:2">
      <c r="A66" s="1"/>
      <c r="B66" s="277"/>
    </row>
    <row r="67" spans="1:2">
      <c r="A67" s="1"/>
      <c r="B67" s="277"/>
    </row>
    <row r="68" spans="1:2">
      <c r="A68" s="1"/>
      <c r="B68" s="277"/>
    </row>
    <row r="69" spans="1:2">
      <c r="A69" s="1"/>
      <c r="B69" s="277"/>
    </row>
    <row r="70" spans="1:2">
      <c r="A70" s="1"/>
      <c r="B70" s="277"/>
    </row>
    <row r="71" spans="1:2">
      <c r="A71" s="1"/>
      <c r="B71" s="277"/>
    </row>
    <row r="72" spans="1:2">
      <c r="A72" s="1"/>
      <c r="B72" s="277"/>
    </row>
    <row r="73" spans="1:2">
      <c r="A73" s="1"/>
      <c r="B73" s="277"/>
    </row>
    <row r="74" spans="1:2">
      <c r="A74" s="1"/>
      <c r="B74" s="277"/>
    </row>
    <row r="75" spans="1:2">
      <c r="A75" s="1"/>
      <c r="B75" s="277"/>
    </row>
  </sheetData>
  <mergeCells count="1">
    <mergeCell ref="B2:P2"/>
  </mergeCells>
  <pageMargins left="0.7" right="0.7" top="0.75" bottom="0.75" header="0.3" footer="0.3"/>
  <pageSetup scale="53" orientation="landscape"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18BAB-ACD5-4BAE-A053-B8A2C9077008}">
  <sheetPr>
    <pageSetUpPr fitToPage="1"/>
  </sheetPr>
  <dimension ref="A1:W76"/>
  <sheetViews>
    <sheetView zoomScale="85" zoomScaleNormal="85" workbookViewId="0">
      <selection activeCell="K42" sqref="K42"/>
    </sheetView>
  </sheetViews>
  <sheetFormatPr baseColWidth="10" defaultColWidth="8.6640625" defaultRowHeight="15"/>
  <cols>
    <col min="1" max="1" width="4.1640625" customWidth="1"/>
    <col min="2" max="2" width="40" customWidth="1"/>
    <col min="3" max="17" width="11.33203125" customWidth="1"/>
    <col min="18" max="18" width="5" customWidth="1"/>
    <col min="20" max="20" width="17.1640625" customWidth="1"/>
  </cols>
  <sheetData>
    <row r="1" spans="2:23" ht="16" thickBot="1"/>
    <row r="2" spans="2:23" ht="30" thickBot="1">
      <c r="B2" s="672" t="s">
        <v>277</v>
      </c>
      <c r="C2" s="673"/>
      <c r="D2" s="673"/>
      <c r="E2" s="673"/>
      <c r="F2" s="673"/>
      <c r="G2" s="673"/>
      <c r="H2" s="673"/>
      <c r="I2" s="673"/>
      <c r="J2" s="673"/>
      <c r="K2" s="673"/>
      <c r="L2" s="673"/>
      <c r="M2" s="673"/>
      <c r="N2" s="673"/>
      <c r="O2" s="673"/>
      <c r="P2" s="675"/>
    </row>
    <row r="3" spans="2:23">
      <c r="B3" s="153"/>
      <c r="C3" s="55"/>
      <c r="D3" s="55"/>
      <c r="F3" s="55"/>
      <c r="G3" s="55"/>
      <c r="H3" s="55"/>
      <c r="I3" s="55"/>
      <c r="J3" s="55"/>
      <c r="K3" s="55"/>
      <c r="L3" s="55"/>
      <c r="M3" s="55"/>
      <c r="N3" s="55"/>
      <c r="O3" s="152"/>
      <c r="P3" s="510"/>
    </row>
    <row r="4" spans="2:23" ht="22" thickBot="1">
      <c r="B4" s="154" t="s">
        <v>90</v>
      </c>
      <c r="C4" s="69">
        <v>2010</v>
      </c>
      <c r="D4" s="69">
        <f t="shared" ref="D4:P4" si="0">C4+1</f>
        <v>2011</v>
      </c>
      <c r="E4" s="69">
        <f t="shared" si="0"/>
        <v>2012</v>
      </c>
      <c r="F4" s="69">
        <f t="shared" si="0"/>
        <v>2013</v>
      </c>
      <c r="G4" s="69">
        <f t="shared" si="0"/>
        <v>2014</v>
      </c>
      <c r="H4" s="69">
        <f t="shared" si="0"/>
        <v>2015</v>
      </c>
      <c r="I4" s="69">
        <f t="shared" si="0"/>
        <v>2016</v>
      </c>
      <c r="J4" s="69">
        <f t="shared" si="0"/>
        <v>2017</v>
      </c>
      <c r="K4" s="69">
        <f t="shared" si="0"/>
        <v>2018</v>
      </c>
      <c r="L4" s="69">
        <f t="shared" si="0"/>
        <v>2019</v>
      </c>
      <c r="M4" s="69">
        <f t="shared" si="0"/>
        <v>2020</v>
      </c>
      <c r="N4" s="69">
        <f t="shared" si="0"/>
        <v>2021</v>
      </c>
      <c r="O4" s="69">
        <f t="shared" si="0"/>
        <v>2022</v>
      </c>
      <c r="P4" s="195">
        <f t="shared" si="0"/>
        <v>2023</v>
      </c>
    </row>
    <row r="5" spans="2:23" ht="20" thickBot="1">
      <c r="B5" s="165" t="s">
        <v>132</v>
      </c>
      <c r="C5" s="146" t="s">
        <v>141</v>
      </c>
      <c r="D5" s="54"/>
      <c r="E5" s="54"/>
      <c r="F5" s="54"/>
      <c r="G5" s="54"/>
      <c r="H5" s="54"/>
      <c r="I5" s="54"/>
      <c r="J5" s="54"/>
      <c r="K5" s="54"/>
      <c r="L5" s="54"/>
      <c r="M5" s="54"/>
      <c r="N5" s="54"/>
      <c r="O5" s="54"/>
      <c r="P5" s="591"/>
    </row>
    <row r="6" spans="2:23">
      <c r="B6" s="354" t="s">
        <v>91</v>
      </c>
      <c r="C6" s="351">
        <v>16885</v>
      </c>
      <c r="D6" s="351">
        <v>17148</v>
      </c>
      <c r="E6" s="351">
        <v>17118</v>
      </c>
      <c r="F6" s="351">
        <v>17290</v>
      </c>
      <c r="G6" s="351">
        <v>16903</v>
      </c>
      <c r="H6" s="351">
        <v>17316</v>
      </c>
      <c r="I6" s="352">
        <v>17557</v>
      </c>
      <c r="J6" s="352">
        <v>17893</v>
      </c>
      <c r="K6" s="352">
        <v>18108</v>
      </c>
      <c r="L6" s="352">
        <v>18188</v>
      </c>
      <c r="M6" s="352">
        <v>18115</v>
      </c>
      <c r="N6" s="351">
        <v>17781</v>
      </c>
      <c r="O6" s="351">
        <v>17519</v>
      </c>
      <c r="P6" s="594">
        <v>17395</v>
      </c>
    </row>
    <row r="7" spans="2:23" ht="16" thickBot="1">
      <c r="B7" s="355" t="s">
        <v>131</v>
      </c>
      <c r="C7" s="353">
        <v>3508673</v>
      </c>
      <c r="D7" s="353">
        <v>3508673</v>
      </c>
      <c r="E7" s="353">
        <v>3508673</v>
      </c>
      <c r="F7" s="353">
        <v>3508673</v>
      </c>
      <c r="G7" s="353">
        <v>3523885</v>
      </c>
      <c r="H7" s="353">
        <v>3523885</v>
      </c>
      <c r="I7" s="353">
        <v>3523885</v>
      </c>
      <c r="J7" s="353">
        <v>3523885</v>
      </c>
      <c r="K7" s="353">
        <v>3543221</v>
      </c>
      <c r="L7" s="353">
        <v>3568301</v>
      </c>
      <c r="M7" s="353">
        <v>3568301</v>
      </c>
      <c r="N7" s="353">
        <v>3568301</v>
      </c>
      <c r="O7" s="353">
        <v>3568301</v>
      </c>
      <c r="P7" s="606">
        <v>3560120</v>
      </c>
    </row>
    <row r="8" spans="2:23" ht="16" thickBot="1">
      <c r="B8" s="19"/>
      <c r="C8" s="62"/>
      <c r="D8" s="62"/>
      <c r="E8" s="62"/>
      <c r="F8" s="62"/>
      <c r="G8" s="62"/>
      <c r="H8" s="62"/>
      <c r="I8" s="62"/>
      <c r="J8" s="62"/>
      <c r="K8" s="62"/>
      <c r="L8" s="62"/>
      <c r="M8" s="62"/>
      <c r="N8" s="62"/>
      <c r="O8" s="35"/>
      <c r="P8" s="35"/>
    </row>
    <row r="9" spans="2:23" ht="21.5" customHeight="1" thickBot="1">
      <c r="B9" s="394" t="s">
        <v>122</v>
      </c>
      <c r="C9" s="175"/>
      <c r="D9" s="171"/>
      <c r="E9" s="171"/>
      <c r="F9" s="171"/>
      <c r="G9" s="171"/>
      <c r="H9" s="171"/>
      <c r="I9" s="171"/>
      <c r="J9" s="171"/>
      <c r="K9" s="171"/>
      <c r="L9" s="171"/>
      <c r="M9" s="171"/>
      <c r="N9" s="171"/>
      <c r="O9" s="171"/>
      <c r="P9" s="601"/>
    </row>
    <row r="10" spans="2:23" ht="18" customHeight="1">
      <c r="B10" s="176" t="s">
        <v>90</v>
      </c>
      <c r="C10" s="69">
        <v>2010</v>
      </c>
      <c r="D10" s="69">
        <f t="shared" ref="D10:P10" si="1">C10+1</f>
        <v>2011</v>
      </c>
      <c r="E10" s="69">
        <f t="shared" si="1"/>
        <v>2012</v>
      </c>
      <c r="F10" s="69">
        <f t="shared" si="1"/>
        <v>2013</v>
      </c>
      <c r="G10" s="69">
        <f t="shared" si="1"/>
        <v>2014</v>
      </c>
      <c r="H10" s="69">
        <f t="shared" si="1"/>
        <v>2015</v>
      </c>
      <c r="I10" s="69">
        <f t="shared" si="1"/>
        <v>2016</v>
      </c>
      <c r="J10" s="69">
        <f t="shared" si="1"/>
        <v>2017</v>
      </c>
      <c r="K10" s="69">
        <f t="shared" si="1"/>
        <v>2018</v>
      </c>
      <c r="L10" s="69">
        <f t="shared" si="1"/>
        <v>2019</v>
      </c>
      <c r="M10" s="69">
        <f t="shared" si="1"/>
        <v>2020</v>
      </c>
      <c r="N10" s="69">
        <f t="shared" si="1"/>
        <v>2021</v>
      </c>
      <c r="O10" s="69">
        <f t="shared" si="1"/>
        <v>2022</v>
      </c>
      <c r="P10" s="195">
        <f t="shared" si="1"/>
        <v>2023</v>
      </c>
    </row>
    <row r="11" spans="2:23" ht="16.25" customHeight="1">
      <c r="B11" s="126" t="s">
        <v>105</v>
      </c>
      <c r="C11" s="146" t="s">
        <v>141</v>
      </c>
      <c r="D11" s="54"/>
      <c r="E11" s="54"/>
      <c r="F11" s="54"/>
      <c r="G11" s="54"/>
      <c r="H11" s="54"/>
      <c r="I11" s="54"/>
      <c r="J11" s="54"/>
      <c r="K11" s="54"/>
      <c r="L11" s="54"/>
      <c r="M11" s="54"/>
      <c r="N11" s="54"/>
      <c r="O11" s="54"/>
      <c r="P11" s="590"/>
    </row>
    <row r="12" spans="2:23" ht="16.25" customHeight="1">
      <c r="B12" s="161" t="s">
        <v>113</v>
      </c>
      <c r="C12" s="71">
        <f>Electricity_Grid!H39</f>
        <v>30578924.099999998</v>
      </c>
      <c r="D12" s="71">
        <f>Electricity_Grid!I39</f>
        <v>30040426.299999997</v>
      </c>
      <c r="E12" s="71">
        <f>Electricity_Grid!J39</f>
        <v>27087702.800000001</v>
      </c>
      <c r="F12" s="71">
        <f>Electricity_Grid!K39</f>
        <v>25785267.200000003</v>
      </c>
      <c r="G12" s="71">
        <f>Electricity_Grid!L39</f>
        <v>25253661.099999998</v>
      </c>
      <c r="H12" s="71">
        <f>Electricity_Grid!M39</f>
        <v>25925970.800000001</v>
      </c>
      <c r="I12" s="71">
        <f>Electricity_Grid!N39</f>
        <v>25020948.800000004</v>
      </c>
      <c r="J12" s="71">
        <f>Electricity_Grid!O39</f>
        <v>27272323.699999999</v>
      </c>
      <c r="K12" s="71">
        <f>Electricity_Grid!P39</f>
        <v>25966426.5</v>
      </c>
      <c r="L12" s="71">
        <f>Electricity_Grid!Q39</f>
        <v>26884216.900000002</v>
      </c>
      <c r="M12" s="71">
        <f>Electricity_Grid!R39</f>
        <v>24800710.5</v>
      </c>
      <c r="N12" s="71">
        <f>Electricity_Grid!S39</f>
        <v>21920237.699999999</v>
      </c>
      <c r="O12" s="71">
        <f>Electricity_Grid!T39</f>
        <v>32493920.100000001</v>
      </c>
      <c r="P12" s="87">
        <f>Electricity_Grid!U39</f>
        <v>30153192.199999999</v>
      </c>
      <c r="S12" s="27"/>
      <c r="T12" s="27"/>
      <c r="U12" s="27"/>
      <c r="V12" s="27"/>
      <c r="W12" s="27"/>
    </row>
    <row r="13" spans="2:23" ht="16.25" customHeight="1" thickBot="1">
      <c r="B13" s="88" t="s">
        <v>233</v>
      </c>
      <c r="C13" s="79">
        <v>7.6900000000000004E-4</v>
      </c>
      <c r="D13" s="79">
        <v>7.5900000000000002E-4</v>
      </c>
      <c r="E13" s="79">
        <v>7.4600000000000003E-4</v>
      </c>
      <c r="F13" s="79">
        <v>7.8600000000000002E-4</v>
      </c>
      <c r="G13" s="79">
        <v>7.36E-4</v>
      </c>
      <c r="H13" s="79">
        <v>7.2599999999999997E-4</v>
      </c>
      <c r="I13" s="79">
        <v>7.1400000000000001E-4</v>
      </c>
      <c r="J13" s="79">
        <v>6.78E-4</v>
      </c>
      <c r="K13" s="79">
        <v>6.820000000000001E-4</v>
      </c>
      <c r="L13" s="79">
        <v>6.9099999999999999E-4</v>
      </c>
      <c r="M13" s="79">
        <v>6.4900000000000005E-4</v>
      </c>
      <c r="N13" s="79">
        <v>5.2700000000000002E-4</v>
      </c>
      <c r="O13" s="79">
        <v>6.02E-4</v>
      </c>
      <c r="P13" s="84">
        <v>5.2599999999999999E-4</v>
      </c>
    </row>
    <row r="14" spans="2:23" ht="16.25" customHeight="1">
      <c r="B14" s="162" t="s">
        <v>224</v>
      </c>
      <c r="C14" s="147">
        <f>C13*C12</f>
        <v>23515.192632899998</v>
      </c>
      <c r="D14" s="147">
        <f t="shared" ref="D14:P14" si="2">D13*D12</f>
        <v>22800.6835617</v>
      </c>
      <c r="E14" s="147">
        <f t="shared" si="2"/>
        <v>20207.426288800001</v>
      </c>
      <c r="F14" s="147">
        <f t="shared" si="2"/>
        <v>20267.220019200002</v>
      </c>
      <c r="G14" s="147">
        <f t="shared" si="2"/>
        <v>18586.694569599997</v>
      </c>
      <c r="H14" s="147">
        <f t="shared" si="2"/>
        <v>18822.254800800001</v>
      </c>
      <c r="I14" s="147">
        <f t="shared" si="2"/>
        <v>17864.957443200004</v>
      </c>
      <c r="J14" s="147">
        <f t="shared" si="2"/>
        <v>18490.635468599998</v>
      </c>
      <c r="K14" s="147">
        <f t="shared" si="2"/>
        <v>17709.102873000003</v>
      </c>
      <c r="L14" s="147">
        <f t="shared" si="2"/>
        <v>18576.9938779</v>
      </c>
      <c r="M14" s="147">
        <f t="shared" si="2"/>
        <v>16095.661114500001</v>
      </c>
      <c r="N14" s="147">
        <f t="shared" si="2"/>
        <v>11551.965267899999</v>
      </c>
      <c r="O14" s="147">
        <f t="shared" si="2"/>
        <v>19561.339900200001</v>
      </c>
      <c r="P14" s="198">
        <f t="shared" si="2"/>
        <v>15860.5790972</v>
      </c>
    </row>
    <row r="15" spans="2:23" ht="16.25" customHeight="1">
      <c r="B15" s="161" t="s">
        <v>112</v>
      </c>
      <c r="C15" s="54"/>
      <c r="D15" s="54"/>
      <c r="E15" s="54"/>
      <c r="F15" s="54"/>
      <c r="G15" s="54"/>
      <c r="H15" s="54"/>
      <c r="I15" s="54"/>
      <c r="J15" s="54"/>
      <c r="K15" s="54"/>
      <c r="L15" s="54"/>
      <c r="M15" s="144"/>
      <c r="N15" s="144"/>
      <c r="O15" s="144"/>
      <c r="P15" s="590"/>
    </row>
    <row r="16" spans="2:23" ht="16.25" customHeight="1">
      <c r="B16" s="272" t="s">
        <v>120</v>
      </c>
      <c r="C16" s="54"/>
      <c r="D16" s="54"/>
      <c r="E16" s="54"/>
      <c r="F16" s="54"/>
      <c r="G16" s="54"/>
      <c r="H16" s="54"/>
      <c r="I16" s="54"/>
      <c r="J16" s="54"/>
      <c r="K16" s="54"/>
      <c r="L16" s="11"/>
      <c r="M16" s="605">
        <v>12569</v>
      </c>
      <c r="N16" s="605">
        <v>93319</v>
      </c>
      <c r="O16" s="605">
        <v>610110</v>
      </c>
      <c r="P16" s="604">
        <f>Electricity_Solar!G15</f>
        <v>433074</v>
      </c>
    </row>
    <row r="17" spans="2:17" ht="16.25" customHeight="1">
      <c r="B17" s="272" t="s">
        <v>223</v>
      </c>
      <c r="C17" s="54"/>
      <c r="D17" s="54"/>
      <c r="E17" s="54"/>
      <c r="F17" s="54"/>
      <c r="G17" s="54"/>
      <c r="H17" s="54"/>
      <c r="I17" s="54"/>
      <c r="J17" s="54"/>
      <c r="K17" s="54"/>
      <c r="L17" s="54"/>
      <c r="M17" s="271">
        <f>M16*M13</f>
        <v>8.1572810000000011</v>
      </c>
      <c r="N17" s="271">
        <f>N16*N13</f>
        <v>49.179113000000001</v>
      </c>
      <c r="O17" s="271">
        <f>O16*O13</f>
        <v>367.28622000000001</v>
      </c>
      <c r="P17" s="603">
        <f>P16*P13</f>
        <v>227.79692399999999</v>
      </c>
    </row>
    <row r="18" spans="2:17" ht="16.25" customHeight="1">
      <c r="B18" s="161"/>
      <c r="C18" s="54"/>
      <c r="D18" s="54"/>
      <c r="E18" s="54"/>
      <c r="F18" s="54"/>
      <c r="G18" s="54"/>
      <c r="H18" s="54"/>
      <c r="I18" s="54"/>
      <c r="J18" s="54"/>
      <c r="K18" s="54"/>
      <c r="L18" s="54"/>
      <c r="M18" s="54"/>
      <c r="N18" s="71"/>
      <c r="O18" s="71"/>
      <c r="P18" s="593"/>
    </row>
    <row r="19" spans="2:17" ht="16.25" customHeight="1">
      <c r="B19" s="172" t="s">
        <v>234</v>
      </c>
      <c r="C19" s="170">
        <f t="shared" ref="C19:P19" si="3">C14</f>
        <v>23515.192632899998</v>
      </c>
      <c r="D19" s="170">
        <f t="shared" si="3"/>
        <v>22800.6835617</v>
      </c>
      <c r="E19" s="170">
        <f t="shared" si="3"/>
        <v>20207.426288800001</v>
      </c>
      <c r="F19" s="170">
        <f t="shared" si="3"/>
        <v>20267.220019200002</v>
      </c>
      <c r="G19" s="170">
        <f t="shared" si="3"/>
        <v>18586.694569599997</v>
      </c>
      <c r="H19" s="170">
        <f t="shared" si="3"/>
        <v>18822.254800800001</v>
      </c>
      <c r="I19" s="170">
        <f t="shared" si="3"/>
        <v>17864.957443200004</v>
      </c>
      <c r="J19" s="170">
        <f t="shared" si="3"/>
        <v>18490.635468599998</v>
      </c>
      <c r="K19" s="170">
        <f t="shared" si="3"/>
        <v>17709.102873000003</v>
      </c>
      <c r="L19" s="170">
        <f t="shared" si="3"/>
        <v>18576.9938779</v>
      </c>
      <c r="M19" s="170">
        <f t="shared" si="3"/>
        <v>16095.661114500001</v>
      </c>
      <c r="N19" s="170">
        <f t="shared" si="3"/>
        <v>11551.965267899999</v>
      </c>
      <c r="O19" s="170">
        <f t="shared" si="3"/>
        <v>19561.339900200001</v>
      </c>
      <c r="P19" s="202">
        <f t="shared" si="3"/>
        <v>15860.5790972</v>
      </c>
    </row>
    <row r="20" spans="2:17" ht="16.25" customHeight="1">
      <c r="B20" s="492" t="s">
        <v>281</v>
      </c>
      <c r="C20" s="143">
        <f t="shared" ref="C20:P20" si="4">C19/C6</f>
        <v>1.3926676122534793</v>
      </c>
      <c r="D20" s="143">
        <f t="shared" si="4"/>
        <v>1.3296409821378585</v>
      </c>
      <c r="E20" s="143">
        <f t="shared" si="4"/>
        <v>1.1804782269423999</v>
      </c>
      <c r="F20" s="143">
        <f t="shared" si="4"/>
        <v>1.1721931763562754</v>
      </c>
      <c r="G20" s="143">
        <f t="shared" si="4"/>
        <v>1.0996092155002068</v>
      </c>
      <c r="H20" s="143">
        <f t="shared" si="4"/>
        <v>1.0869863017325019</v>
      </c>
      <c r="I20" s="143">
        <f t="shared" si="4"/>
        <v>1.0175404364754801</v>
      </c>
      <c r="J20" s="143">
        <f t="shared" si="4"/>
        <v>1.0334005180014529</v>
      </c>
      <c r="K20" s="143">
        <f t="shared" si="4"/>
        <v>0.97797122117296242</v>
      </c>
      <c r="L20" s="143">
        <f t="shared" si="4"/>
        <v>1.0213873915713658</v>
      </c>
      <c r="M20" s="143">
        <f t="shared" si="4"/>
        <v>0.88852669690863928</v>
      </c>
      <c r="N20" s="143">
        <f t="shared" si="4"/>
        <v>0.64968029176649222</v>
      </c>
      <c r="O20" s="143">
        <f t="shared" si="4"/>
        <v>1.1165785661396199</v>
      </c>
      <c r="P20" s="203">
        <f t="shared" si="4"/>
        <v>0.91178954281115265</v>
      </c>
    </row>
    <row r="21" spans="2:17" ht="16.25" customHeight="1" thickBot="1">
      <c r="B21" s="173" t="s">
        <v>225</v>
      </c>
      <c r="C21" s="174">
        <f t="shared" ref="C21:P21" si="5">C19*1000/C7</f>
        <v>6.7020188637983651</v>
      </c>
      <c r="D21" s="174">
        <f t="shared" si="5"/>
        <v>6.4983780368532491</v>
      </c>
      <c r="E21" s="174">
        <f t="shared" si="5"/>
        <v>5.7592788751758857</v>
      </c>
      <c r="F21" s="174">
        <f t="shared" si="5"/>
        <v>5.7763205688304389</v>
      </c>
      <c r="G21" s="174">
        <f t="shared" si="5"/>
        <v>5.2744895391308164</v>
      </c>
      <c r="H21" s="174">
        <f t="shared" si="5"/>
        <v>5.341336281064792</v>
      </c>
      <c r="I21" s="174">
        <f t="shared" si="5"/>
        <v>5.0696766333748133</v>
      </c>
      <c r="J21" s="174">
        <f t="shared" si="5"/>
        <v>5.2472301078497159</v>
      </c>
      <c r="K21" s="174">
        <f t="shared" si="5"/>
        <v>4.9980237961448077</v>
      </c>
      <c r="L21" s="174">
        <f t="shared" si="5"/>
        <v>5.2061173869300825</v>
      </c>
      <c r="M21" s="174">
        <f t="shared" si="5"/>
        <v>4.5107352531358762</v>
      </c>
      <c r="N21" s="174">
        <f t="shared" si="5"/>
        <v>3.2373853180827514</v>
      </c>
      <c r="O21" s="174">
        <f t="shared" si="5"/>
        <v>5.4819758479455638</v>
      </c>
      <c r="P21" s="204">
        <f t="shared" si="5"/>
        <v>4.4550686766738199</v>
      </c>
    </row>
    <row r="22" spans="2:17" ht="16.25" customHeight="1" thickBot="1">
      <c r="B22" s="132"/>
      <c r="C22" s="131"/>
      <c r="D22" s="131"/>
      <c r="E22" s="131"/>
      <c r="F22" s="131"/>
      <c r="G22" s="131"/>
      <c r="H22" s="131"/>
      <c r="I22" s="131"/>
      <c r="J22" s="131"/>
      <c r="K22" s="131"/>
      <c r="L22" s="131"/>
      <c r="M22" s="131"/>
      <c r="N22" s="131"/>
      <c r="O22" s="131"/>
      <c r="P22" s="131"/>
    </row>
    <row r="23" spans="2:17" ht="21" customHeight="1" thickBot="1">
      <c r="B23" s="395" t="s">
        <v>123</v>
      </c>
      <c r="C23" s="151"/>
      <c r="D23" s="152"/>
      <c r="E23" s="152"/>
      <c r="F23" s="152"/>
      <c r="G23" s="152"/>
      <c r="H23" s="152"/>
      <c r="I23" s="152"/>
      <c r="J23" s="152"/>
      <c r="K23" s="152"/>
      <c r="L23" s="152"/>
      <c r="M23" s="152"/>
      <c r="N23" s="178"/>
      <c r="O23" s="178"/>
      <c r="P23" s="601"/>
    </row>
    <row r="24" spans="2:17" ht="18" customHeight="1">
      <c r="B24" s="176" t="s">
        <v>90</v>
      </c>
      <c r="C24" s="69">
        <v>2010</v>
      </c>
      <c r="D24" s="69">
        <f t="shared" ref="D24:P24" si="6">C24+1</f>
        <v>2011</v>
      </c>
      <c r="E24" s="69">
        <f t="shared" si="6"/>
        <v>2012</v>
      </c>
      <c r="F24" s="69">
        <f t="shared" si="6"/>
        <v>2013</v>
      </c>
      <c r="G24" s="69">
        <f t="shared" si="6"/>
        <v>2014</v>
      </c>
      <c r="H24" s="69">
        <f t="shared" si="6"/>
        <v>2015</v>
      </c>
      <c r="I24" s="69">
        <f t="shared" si="6"/>
        <v>2016</v>
      </c>
      <c r="J24" s="69">
        <f t="shared" si="6"/>
        <v>2017</v>
      </c>
      <c r="K24" s="69">
        <f t="shared" si="6"/>
        <v>2018</v>
      </c>
      <c r="L24" s="69">
        <f t="shared" si="6"/>
        <v>2019</v>
      </c>
      <c r="M24" s="69">
        <f t="shared" si="6"/>
        <v>2020</v>
      </c>
      <c r="N24" s="69">
        <f t="shared" si="6"/>
        <v>2021</v>
      </c>
      <c r="O24" s="69">
        <f t="shared" si="6"/>
        <v>2022</v>
      </c>
      <c r="P24" s="195">
        <f t="shared" si="6"/>
        <v>2023</v>
      </c>
    </row>
    <row r="25" spans="2:17" ht="16.25" customHeight="1">
      <c r="B25" s="130" t="s">
        <v>133</v>
      </c>
      <c r="C25" s="146" t="s">
        <v>141</v>
      </c>
      <c r="D25" s="54"/>
      <c r="E25" s="54"/>
      <c r="F25" s="54"/>
      <c r="G25" s="54"/>
      <c r="H25" s="54"/>
      <c r="I25" s="54"/>
      <c r="J25" s="54"/>
      <c r="K25" s="54"/>
      <c r="L25" s="54"/>
      <c r="M25" s="54"/>
      <c r="N25" s="54"/>
      <c r="O25" s="54"/>
      <c r="P25" s="602"/>
    </row>
    <row r="26" spans="2:17" ht="16.25" customHeight="1">
      <c r="B26" s="9" t="s">
        <v>152</v>
      </c>
      <c r="C26" s="71">
        <f>Water!H39</f>
        <v>27778.400000000005</v>
      </c>
      <c r="D26" s="71">
        <f>Water!I39</f>
        <v>32417.8</v>
      </c>
      <c r="E26" s="71">
        <f>Water!J39</f>
        <v>45745.5</v>
      </c>
      <c r="F26" s="71">
        <f>Water!K39</f>
        <v>29664.2</v>
      </c>
      <c r="G26" s="71">
        <f>Water!L39</f>
        <v>26572</v>
      </c>
      <c r="H26" s="71">
        <f>Water!M39</f>
        <v>26987.7</v>
      </c>
      <c r="I26" s="71">
        <f>Water!N39</f>
        <v>29376.9</v>
      </c>
      <c r="J26" s="71">
        <f>Water!O39</f>
        <v>29879.600000000002</v>
      </c>
      <c r="K26" s="71">
        <f>Water!P39</f>
        <v>30811.599999999995</v>
      </c>
      <c r="L26" s="71">
        <f>Water!Q39</f>
        <v>30247.300000000003</v>
      </c>
      <c r="M26" s="71">
        <f>Water!R39</f>
        <v>25142.500000000004</v>
      </c>
      <c r="N26" s="71">
        <f>Water!S39</f>
        <v>17559.700000000008</v>
      </c>
      <c r="O26" s="71">
        <f>Water!T39</f>
        <v>28550.6</v>
      </c>
      <c r="P26" s="87">
        <f>Water!U39</f>
        <v>25500.300000000003</v>
      </c>
    </row>
    <row r="27" spans="2:17" ht="16.25" customHeight="1">
      <c r="B27" s="9" t="s">
        <v>226</v>
      </c>
      <c r="C27" s="192">
        <f>C26*1.633/1000</f>
        <v>45.36212720000001</v>
      </c>
      <c r="D27" s="192">
        <f t="shared" ref="D27:O27" si="7">D26*1.633/1000</f>
        <v>52.938267399999994</v>
      </c>
      <c r="E27" s="192">
        <f t="shared" si="7"/>
        <v>74.702401500000008</v>
      </c>
      <c r="F27" s="192">
        <f t="shared" si="7"/>
        <v>48.441638599999997</v>
      </c>
      <c r="G27" s="192">
        <f t="shared" si="7"/>
        <v>43.392076000000003</v>
      </c>
      <c r="H27" s="192">
        <f t="shared" si="7"/>
        <v>44.070914100000003</v>
      </c>
      <c r="I27" s="192">
        <f t="shared" si="7"/>
        <v>47.972477700000006</v>
      </c>
      <c r="J27" s="192">
        <f t="shared" si="7"/>
        <v>48.7933868</v>
      </c>
      <c r="K27" s="192">
        <f t="shared" si="7"/>
        <v>50.315342799999989</v>
      </c>
      <c r="L27" s="192">
        <f t="shared" si="7"/>
        <v>49.393840900000001</v>
      </c>
      <c r="M27" s="192">
        <f t="shared" si="7"/>
        <v>41.057702500000005</v>
      </c>
      <c r="N27" s="192">
        <f t="shared" si="7"/>
        <v>28.674990100000013</v>
      </c>
      <c r="O27" s="192">
        <f t="shared" si="7"/>
        <v>46.623129799999994</v>
      </c>
      <c r="P27" s="205">
        <f>P26*1.633/1000</f>
        <v>41.641989900000006</v>
      </c>
    </row>
    <row r="28" spans="2:17" ht="16.25" customHeight="1" thickBot="1">
      <c r="B28" s="159" t="s">
        <v>227</v>
      </c>
      <c r="C28" s="193">
        <f>C26*1.546/1000</f>
        <v>42.94540640000001</v>
      </c>
      <c r="D28" s="193">
        <f t="shared" ref="D28:O28" si="8">D26*1.546/1000</f>
        <v>50.117918799999998</v>
      </c>
      <c r="E28" s="193">
        <f t="shared" si="8"/>
        <v>70.722543000000002</v>
      </c>
      <c r="F28" s="193">
        <f t="shared" si="8"/>
        <v>45.860853200000008</v>
      </c>
      <c r="G28" s="193">
        <f t="shared" si="8"/>
        <v>41.080311999999999</v>
      </c>
      <c r="H28" s="193">
        <f t="shared" si="8"/>
        <v>41.722984199999999</v>
      </c>
      <c r="I28" s="193">
        <f t="shared" si="8"/>
        <v>45.416687400000001</v>
      </c>
      <c r="J28" s="193">
        <f t="shared" si="8"/>
        <v>46.193861600000005</v>
      </c>
      <c r="K28" s="193">
        <f t="shared" si="8"/>
        <v>47.63473359999999</v>
      </c>
      <c r="L28" s="193">
        <f t="shared" si="8"/>
        <v>46.762325800000006</v>
      </c>
      <c r="M28" s="193">
        <f t="shared" si="8"/>
        <v>38.870305000000009</v>
      </c>
      <c r="N28" s="193">
        <f t="shared" si="8"/>
        <v>27.14729620000001</v>
      </c>
      <c r="O28" s="193">
        <f t="shared" si="8"/>
        <v>44.139227599999998</v>
      </c>
      <c r="P28" s="206">
        <f>P26*1.546/1000</f>
        <v>39.423463800000007</v>
      </c>
    </row>
    <row r="29" spans="2:17" ht="16.25" customHeight="1" thickBot="1">
      <c r="B29" s="216" t="s">
        <v>228</v>
      </c>
      <c r="C29" s="217">
        <f>C28+C27</f>
        <v>88.307533600000028</v>
      </c>
      <c r="D29" s="217">
        <f t="shared" ref="D29:P29" si="9">D28+D27</f>
        <v>103.05618619999998</v>
      </c>
      <c r="E29" s="217">
        <f t="shared" si="9"/>
        <v>145.42494450000001</v>
      </c>
      <c r="F29" s="217">
        <f t="shared" si="9"/>
        <v>94.302491800000013</v>
      </c>
      <c r="G29" s="217">
        <f t="shared" si="9"/>
        <v>84.472387999999995</v>
      </c>
      <c r="H29" s="217">
        <f t="shared" si="9"/>
        <v>85.793898299999995</v>
      </c>
      <c r="I29" s="217">
        <f t="shared" si="9"/>
        <v>93.389165100000014</v>
      </c>
      <c r="J29" s="217">
        <f t="shared" si="9"/>
        <v>94.987248399999999</v>
      </c>
      <c r="K29" s="217">
        <f t="shared" si="9"/>
        <v>97.950076399999972</v>
      </c>
      <c r="L29" s="217">
        <f t="shared" si="9"/>
        <v>96.1561667</v>
      </c>
      <c r="M29" s="217">
        <f t="shared" si="9"/>
        <v>79.928007500000007</v>
      </c>
      <c r="N29" s="217">
        <f t="shared" si="9"/>
        <v>55.822286300000023</v>
      </c>
      <c r="O29" s="217">
        <f t="shared" si="9"/>
        <v>90.762357399999985</v>
      </c>
      <c r="P29" s="218">
        <f t="shared" si="9"/>
        <v>81.065453700000006</v>
      </c>
    </row>
    <row r="30" spans="2:17" ht="16.25" customHeight="1" thickBot="1">
      <c r="B30" s="58"/>
      <c r="N30" s="191"/>
      <c r="O30" s="191"/>
      <c r="P30" s="98"/>
    </row>
    <row r="31" spans="2:17" ht="23.75" customHeight="1" thickBot="1">
      <c r="B31" s="396" t="s">
        <v>236</v>
      </c>
      <c r="C31" s="152"/>
      <c r="D31" s="152"/>
      <c r="E31" s="152"/>
      <c r="F31" s="152"/>
      <c r="G31" s="152"/>
      <c r="H31" s="152"/>
      <c r="I31" s="152"/>
      <c r="J31" s="152"/>
      <c r="K31" s="152"/>
      <c r="L31" s="152"/>
      <c r="M31" s="152"/>
      <c r="N31" s="152"/>
      <c r="O31" s="152"/>
      <c r="P31" s="572"/>
      <c r="Q31" s="219"/>
    </row>
    <row r="32" spans="2:17" ht="16.25" customHeight="1">
      <c r="B32" s="220" t="s">
        <v>90</v>
      </c>
      <c r="C32" s="221">
        <v>2010</v>
      </c>
      <c r="D32" s="221">
        <f t="shared" ref="D32:O32" si="10">C32+1</f>
        <v>2011</v>
      </c>
      <c r="E32" s="221">
        <f t="shared" si="10"/>
        <v>2012</v>
      </c>
      <c r="F32" s="221">
        <f t="shared" si="10"/>
        <v>2013</v>
      </c>
      <c r="G32" s="221">
        <f t="shared" si="10"/>
        <v>2014</v>
      </c>
      <c r="H32" s="221">
        <f t="shared" si="10"/>
        <v>2015</v>
      </c>
      <c r="I32" s="221">
        <f t="shared" si="10"/>
        <v>2016</v>
      </c>
      <c r="J32" s="221">
        <f t="shared" si="10"/>
        <v>2017</v>
      </c>
      <c r="K32" s="221">
        <f t="shared" si="10"/>
        <v>2018</v>
      </c>
      <c r="L32" s="221">
        <f t="shared" si="10"/>
        <v>2019</v>
      </c>
      <c r="M32" s="221">
        <f t="shared" si="10"/>
        <v>2020</v>
      </c>
      <c r="N32" s="221">
        <f t="shared" si="10"/>
        <v>2021</v>
      </c>
      <c r="O32" s="221">
        <f t="shared" si="10"/>
        <v>2022</v>
      </c>
      <c r="P32" s="573">
        <v>2023</v>
      </c>
      <c r="Q32" s="222" t="s">
        <v>290</v>
      </c>
    </row>
    <row r="33" spans="2:17" ht="16.25" customHeight="1" thickBot="1">
      <c r="B33" s="223"/>
      <c r="C33" s="224" t="s">
        <v>141</v>
      </c>
      <c r="D33" s="225"/>
      <c r="E33" s="225"/>
      <c r="F33" s="225"/>
      <c r="G33" s="225"/>
      <c r="H33" s="225"/>
      <c r="I33" s="225"/>
      <c r="J33" s="225"/>
      <c r="K33" s="225"/>
      <c r="L33" s="225"/>
      <c r="M33" s="225"/>
      <c r="N33" s="225"/>
      <c r="O33" s="225"/>
      <c r="P33" s="574"/>
      <c r="Q33" s="226">
        <v>2010</v>
      </c>
    </row>
    <row r="34" spans="2:17" ht="16.25" customHeight="1" thickBot="1">
      <c r="B34" s="227" t="s">
        <v>229</v>
      </c>
      <c r="C34" s="228">
        <f>C19+'GHGI-Scope 1'!C33+C29</f>
        <v>35654.976397401937</v>
      </c>
      <c r="D34" s="228">
        <f>D19+'GHGI-Scope 1'!D33+D29</f>
        <v>35986.363016326482</v>
      </c>
      <c r="E34" s="228">
        <f>E19+'GHGI-Scope 1'!E33+E29</f>
        <v>30670.847542541869</v>
      </c>
      <c r="F34" s="228">
        <f>F19+'GHGI-Scope 1'!F33+F29</f>
        <v>32192.154870524988</v>
      </c>
      <c r="G34" s="228">
        <f>G19+'GHGI-Scope 1'!G33+G29</f>
        <v>31604.172500021865</v>
      </c>
      <c r="H34" s="228">
        <f>H19+'GHGI-Scope 1'!H33+H29</f>
        <v>30918.243868122569</v>
      </c>
      <c r="I34" s="228">
        <f>I19+'GHGI-Scope 1'!I33+I29</f>
        <v>27880.399040840817</v>
      </c>
      <c r="J34" s="228">
        <f>J19+'GHGI-Scope 1'!J33+J29</f>
        <v>29403.018254056089</v>
      </c>
      <c r="K34" s="228">
        <f>K19+'GHGI-Scope 1'!K33+K29</f>
        <v>29844.614314978415</v>
      </c>
      <c r="L34" s="228">
        <f>L19+'GHGI-Scope 1'!L33+L29</f>
        <v>30219.701408767814</v>
      </c>
      <c r="M34" s="228">
        <f>M19+'GHGI-Scope 1'!M33+M29</f>
        <v>26675.643470390634</v>
      </c>
      <c r="N34" s="228">
        <f>N19+'GHGI-Scope 1'!N33+N29</f>
        <v>20874.396141465561</v>
      </c>
      <c r="O34" s="228">
        <f>O19+'GHGI-Scope 1'!O33+O29</f>
        <v>32046.378067015201</v>
      </c>
      <c r="P34" s="228">
        <f>P19+'GHGI-Scope 1'!P33+P29</f>
        <v>26966.637397400362</v>
      </c>
      <c r="Q34" s="229">
        <f>(P34/C34)-1</f>
        <v>-0.24367815878387922</v>
      </c>
    </row>
    <row r="35" spans="2:17" ht="16.25" customHeight="1">
      <c r="B35" s="230" t="s">
        <v>230</v>
      </c>
      <c r="C35" s="231">
        <f t="shared" ref="C35:P35" si="11">C34/C6</f>
        <v>2.111636150275507</v>
      </c>
      <c r="D35" s="231">
        <f t="shared" si="11"/>
        <v>2.09857493680467</v>
      </c>
      <c r="E35" s="231">
        <f t="shared" si="11"/>
        <v>1.7917307829502203</v>
      </c>
      <c r="F35" s="231">
        <f t="shared" si="11"/>
        <v>1.8618944401691722</v>
      </c>
      <c r="G35" s="231">
        <f t="shared" si="11"/>
        <v>1.8697374726392868</v>
      </c>
      <c r="H35" s="231">
        <f t="shared" si="11"/>
        <v>1.7855303689144473</v>
      </c>
      <c r="I35" s="231">
        <f t="shared" si="11"/>
        <v>1.5879933383175266</v>
      </c>
      <c r="J35" s="231">
        <f t="shared" si="11"/>
        <v>1.6432693373976466</v>
      </c>
      <c r="K35" s="231">
        <f t="shared" si="11"/>
        <v>1.6481452570675068</v>
      </c>
      <c r="L35" s="231">
        <f t="shared" si="11"/>
        <v>1.6615186611374431</v>
      </c>
      <c r="M35" s="231">
        <f t="shared" si="11"/>
        <v>1.4725720933144153</v>
      </c>
      <c r="N35" s="231">
        <f t="shared" si="11"/>
        <v>1.1739720005323413</v>
      </c>
      <c r="O35" s="232">
        <f t="shared" si="11"/>
        <v>1.8292355766319539</v>
      </c>
      <c r="P35" s="231">
        <f t="shared" si="11"/>
        <v>1.5502522217533983</v>
      </c>
      <c r="Q35" s="233">
        <f>(P35/C35)-1</f>
        <v>-0.26585258471203221</v>
      </c>
    </row>
    <row r="36" spans="2:17" ht="16.25" customHeight="1" thickBot="1">
      <c r="B36" s="234" t="s">
        <v>231</v>
      </c>
      <c r="C36" s="235">
        <f t="shared" ref="C36:P36" si="12">C34*1000/C7</f>
        <v>10.161954789574844</v>
      </c>
      <c r="D36" s="235">
        <f t="shared" si="12"/>
        <v>10.256402638925451</v>
      </c>
      <c r="E36" s="235">
        <f t="shared" si="12"/>
        <v>8.7414380144692512</v>
      </c>
      <c r="F36" s="235">
        <f t="shared" si="12"/>
        <v>9.1750228278682524</v>
      </c>
      <c r="G36" s="235">
        <f t="shared" si="12"/>
        <v>8.9685595585616049</v>
      </c>
      <c r="H36" s="235">
        <f t="shared" si="12"/>
        <v>8.7739083052150022</v>
      </c>
      <c r="I36" s="235">
        <f t="shared" si="12"/>
        <v>7.9118356702448622</v>
      </c>
      <c r="J36" s="235">
        <f t="shared" si="12"/>
        <v>8.343921057031114</v>
      </c>
      <c r="K36" s="235">
        <f t="shared" si="12"/>
        <v>8.423018015240487</v>
      </c>
      <c r="L36" s="235">
        <f t="shared" si="12"/>
        <v>8.468932808293868</v>
      </c>
      <c r="M36" s="235">
        <f t="shared" si="12"/>
        <v>7.4757268151959808</v>
      </c>
      <c r="N36" s="235">
        <f t="shared" si="12"/>
        <v>5.849953841188162</v>
      </c>
      <c r="O36" s="235">
        <f t="shared" si="12"/>
        <v>8.9808505692247369</v>
      </c>
      <c r="P36" s="235">
        <f t="shared" si="12"/>
        <v>7.5746428202982932</v>
      </c>
      <c r="Q36" s="236">
        <f>(P36/C36)-1</f>
        <v>-0.25460770322761872</v>
      </c>
    </row>
    <row r="37" spans="2:17" ht="16.25" customHeight="1">
      <c r="B37" s="132"/>
      <c r="C37" s="131"/>
      <c r="D37" s="131"/>
      <c r="E37" s="131"/>
      <c r="F37" s="131"/>
      <c r="G37" s="131"/>
      <c r="H37" s="131"/>
      <c r="I37" s="131"/>
      <c r="J37" s="131"/>
      <c r="K37" s="131"/>
      <c r="L37" s="131"/>
      <c r="M37" s="131"/>
      <c r="N37" s="131"/>
      <c r="O37" s="131"/>
      <c r="P37" s="131"/>
    </row>
    <row r="38" spans="2:17" ht="16.25" customHeight="1">
      <c r="B38" s="132"/>
      <c r="C38" s="131"/>
      <c r="D38" s="131"/>
      <c r="E38" s="131"/>
      <c r="F38" s="131"/>
      <c r="G38" s="131"/>
      <c r="H38" s="131"/>
      <c r="I38" s="131"/>
      <c r="J38" s="131"/>
      <c r="K38" s="131"/>
      <c r="L38" s="131"/>
      <c r="M38" s="131"/>
      <c r="N38" s="131"/>
      <c r="O38" s="131"/>
      <c r="P38" s="131"/>
    </row>
    <row r="39" spans="2:17" ht="16.25" customHeight="1">
      <c r="B39" s="58"/>
      <c r="N39" s="191"/>
      <c r="O39" s="191"/>
      <c r="P39" s="98"/>
    </row>
    <row r="40" spans="2:17" ht="16.25" customHeight="1">
      <c r="P40" s="98"/>
    </row>
    <row r="41" spans="2:17" ht="16.25" customHeight="1">
      <c r="P41" s="98"/>
    </row>
    <row r="42" spans="2:17" ht="16.25" customHeight="1">
      <c r="P42" s="98"/>
    </row>
    <row r="43" spans="2:17" ht="16.25" customHeight="1"/>
    <row r="44" spans="2:17" ht="16.25" customHeight="1"/>
    <row r="45" spans="2:17" ht="16.25" customHeight="1"/>
    <row r="46" spans="2:17" ht="16.25" customHeight="1"/>
    <row r="47" spans="2:17" ht="16.25" customHeight="1"/>
    <row r="48" spans="2:17" ht="16.25" customHeight="1"/>
    <row r="49" spans="1:7" ht="16.25" customHeight="1"/>
    <row r="50" spans="1:7" ht="16.25" customHeight="1"/>
    <row r="51" spans="1:7" ht="16.25" customHeight="1"/>
    <row r="52" spans="1:7" ht="16.25" customHeight="1">
      <c r="B52" s="57"/>
    </row>
    <row r="53" spans="1:7" ht="16.25" customHeight="1"/>
    <row r="54" spans="1:7" ht="16.25" customHeight="1"/>
    <row r="55" spans="1:7" ht="16.25" customHeight="1"/>
    <row r="56" spans="1:7" ht="16.25" customHeight="1"/>
    <row r="57" spans="1:7" ht="16.25" customHeight="1"/>
    <row r="58" spans="1:7" ht="16.25" customHeight="1"/>
    <row r="59" spans="1:7" ht="16.25" customHeight="1"/>
    <row r="60" spans="1:7" ht="19.25" customHeight="1">
      <c r="A60" s="278"/>
      <c r="B60" s="278"/>
      <c r="C60" s="278"/>
      <c r="D60" s="278"/>
      <c r="E60" s="278"/>
      <c r="F60" s="278"/>
      <c r="G60" s="278"/>
    </row>
    <row r="61" spans="1:7" ht="16.25" customHeight="1">
      <c r="A61" s="61"/>
      <c r="C61" s="279"/>
      <c r="D61" s="279"/>
      <c r="E61" s="279"/>
      <c r="F61" s="279"/>
      <c r="G61" s="279"/>
    </row>
    <row r="62" spans="1:7" ht="16.25" customHeight="1">
      <c r="A62" s="1"/>
      <c r="B62" s="277"/>
    </row>
    <row r="63" spans="1:7" ht="16.25" customHeight="1">
      <c r="A63" s="1"/>
      <c r="B63" s="277"/>
    </row>
    <row r="64" spans="1:7" ht="16.25" customHeight="1">
      <c r="A64" s="1"/>
      <c r="B64" s="277"/>
    </row>
    <row r="65" spans="1:16" ht="16.25" customHeight="1">
      <c r="A65" s="1"/>
      <c r="B65" s="277"/>
      <c r="C65" s="30"/>
      <c r="D65" s="30"/>
      <c r="E65" s="30"/>
      <c r="F65" s="30"/>
      <c r="G65" s="30"/>
      <c r="H65" s="30"/>
      <c r="I65" s="30"/>
      <c r="J65" s="30"/>
      <c r="K65" s="30"/>
      <c r="L65" s="30"/>
      <c r="N65" s="30"/>
      <c r="O65" s="30"/>
      <c r="P65" s="30"/>
    </row>
    <row r="66" spans="1:16" ht="16.25" customHeight="1">
      <c r="A66" s="1"/>
      <c r="B66" s="277"/>
    </row>
    <row r="67" spans="1:16">
      <c r="A67" s="1"/>
      <c r="B67" s="277"/>
    </row>
    <row r="68" spans="1:16">
      <c r="A68" s="1"/>
      <c r="B68" s="277"/>
    </row>
    <row r="69" spans="1:16">
      <c r="A69" s="1"/>
      <c r="B69" s="277"/>
    </row>
    <row r="70" spans="1:16">
      <c r="A70" s="1"/>
      <c r="B70" s="277"/>
    </row>
    <row r="71" spans="1:16">
      <c r="A71" s="1"/>
      <c r="B71" s="277"/>
    </row>
    <row r="72" spans="1:16">
      <c r="A72" s="1"/>
      <c r="B72" s="277"/>
    </row>
    <row r="73" spans="1:16">
      <c r="A73" s="1"/>
      <c r="B73" s="277"/>
    </row>
    <row r="74" spans="1:16">
      <c r="A74" s="1"/>
      <c r="B74" s="277"/>
    </row>
    <row r="75" spans="1:16">
      <c r="A75" s="1"/>
      <c r="B75" s="277"/>
    </row>
    <row r="76" spans="1:16">
      <c r="A76" s="1"/>
      <c r="B76" s="277"/>
    </row>
  </sheetData>
  <mergeCells count="1">
    <mergeCell ref="B2:P2"/>
  </mergeCells>
  <conditionalFormatting sqref="C26:P26">
    <cfRule type="colorScale" priority="6">
      <colorScale>
        <cfvo type="min"/>
        <cfvo type="percentile" val="50"/>
        <cfvo type="max"/>
        <color rgb="FF63BE7B"/>
        <color rgb="FFFFEB84"/>
        <color rgb="FFF8696B"/>
      </colorScale>
    </cfRule>
  </conditionalFormatting>
  <conditionalFormatting sqref="C34:P34">
    <cfRule type="colorScale" priority="5">
      <colorScale>
        <cfvo type="min"/>
        <cfvo type="percentile" val="50"/>
        <cfvo type="max"/>
        <color rgb="FF63BE7B"/>
        <color rgb="FFFFEB84"/>
        <color rgb="FFF8696B"/>
      </colorScale>
    </cfRule>
  </conditionalFormatting>
  <conditionalFormatting sqref="C35:P35">
    <cfRule type="colorScale" priority="4">
      <colorScale>
        <cfvo type="min"/>
        <cfvo type="percentile" val="50"/>
        <cfvo type="max"/>
        <color rgb="FF63BE7B"/>
        <color rgb="FFFFEB84"/>
        <color rgb="FFF8696B"/>
      </colorScale>
    </cfRule>
  </conditionalFormatting>
  <conditionalFormatting sqref="C36:P36">
    <cfRule type="colorScale" priority="3">
      <colorScale>
        <cfvo type="min"/>
        <cfvo type="percentile" val="50"/>
        <cfvo type="max"/>
        <color rgb="FF63BE7B"/>
        <color rgb="FFFFEB84"/>
        <color rgb="FFF8696B"/>
      </colorScale>
    </cfRule>
  </conditionalFormatting>
  <conditionalFormatting sqref="C13:P13">
    <cfRule type="colorScale" priority="2">
      <colorScale>
        <cfvo type="min"/>
        <cfvo type="percentile" val="50"/>
        <cfvo type="max"/>
        <color rgb="FF63BE7B"/>
        <color rgb="FFFFEB84"/>
        <color rgb="FFF8696B"/>
      </colorScale>
    </cfRule>
  </conditionalFormatting>
  <conditionalFormatting sqref="C19:P19">
    <cfRule type="colorScale" priority="1">
      <colorScale>
        <cfvo type="min"/>
        <cfvo type="percentile" val="50"/>
        <cfvo type="max"/>
        <color rgb="FF63BE7B"/>
        <color rgb="FFFFEB84"/>
        <color rgb="FFF8696B"/>
      </colorScale>
    </cfRule>
  </conditionalFormatting>
  <pageMargins left="0.7" right="0.7" top="0.75" bottom="0.75" header="0.3" footer="0.3"/>
  <pageSetup scale="52" orientation="landscape"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E699E-D403-4478-BC76-208CAB4EB08E}">
  <sheetPr>
    <pageSetUpPr fitToPage="1"/>
  </sheetPr>
  <dimension ref="B1:W54"/>
  <sheetViews>
    <sheetView zoomScale="85" zoomScaleNormal="85" workbookViewId="0">
      <selection activeCell="U48" sqref="U48"/>
    </sheetView>
  </sheetViews>
  <sheetFormatPr baseColWidth="10" defaultColWidth="8.6640625" defaultRowHeight="15"/>
  <cols>
    <col min="1" max="1" width="4.6640625" customWidth="1"/>
    <col min="2" max="2" width="40.5" customWidth="1"/>
    <col min="3" max="7" width="13.33203125" hidden="1" customWidth="1"/>
    <col min="8" max="13" width="13.33203125" customWidth="1"/>
    <col min="14" max="18" width="14.6640625" customWidth="1"/>
    <col min="19" max="19" width="14.6640625" bestFit="1" customWidth="1"/>
    <col min="20" max="21" width="14.6640625" customWidth="1"/>
    <col min="23" max="33" width="0" hidden="1" customWidth="1"/>
  </cols>
  <sheetData>
    <row r="1" spans="2:21" ht="16" thickBot="1"/>
    <row r="2" spans="2:21" ht="48" customHeight="1" thickBot="1">
      <c r="B2" s="679" t="s">
        <v>167</v>
      </c>
      <c r="C2" s="680"/>
      <c r="D2" s="680"/>
      <c r="E2" s="680"/>
      <c r="F2" s="680"/>
      <c r="G2" s="680"/>
      <c r="H2" s="680"/>
      <c r="I2" s="681"/>
      <c r="J2" s="290"/>
      <c r="K2" s="194"/>
      <c r="L2" s="194"/>
      <c r="M2" s="194"/>
      <c r="N2" s="194"/>
      <c r="O2" s="194"/>
      <c r="P2" s="194"/>
      <c r="Q2" s="194"/>
      <c r="R2" s="194"/>
      <c r="S2" s="252" t="s">
        <v>264</v>
      </c>
      <c r="T2" s="252" t="s">
        <v>162</v>
      </c>
      <c r="U2" s="510"/>
    </row>
    <row r="3" spans="2:21" ht="22" thickBot="1">
      <c r="B3" s="291" t="s">
        <v>90</v>
      </c>
      <c r="C3" s="292">
        <v>2005</v>
      </c>
      <c r="D3" s="292">
        <f>C3+1</f>
        <v>2006</v>
      </c>
      <c r="E3" s="292">
        <f t="shared" ref="E3:T3" si="0">D3+1</f>
        <v>2007</v>
      </c>
      <c r="F3" s="292">
        <f t="shared" si="0"/>
        <v>2008</v>
      </c>
      <c r="G3" s="292">
        <f t="shared" si="0"/>
        <v>2009</v>
      </c>
      <c r="H3" s="292">
        <f t="shared" si="0"/>
        <v>2010</v>
      </c>
      <c r="I3" s="292">
        <f t="shared" si="0"/>
        <v>2011</v>
      </c>
      <c r="J3" s="292">
        <f t="shared" si="0"/>
        <v>2012</v>
      </c>
      <c r="K3" s="292">
        <f t="shared" si="0"/>
        <v>2013</v>
      </c>
      <c r="L3" s="292">
        <f t="shared" si="0"/>
        <v>2014</v>
      </c>
      <c r="M3" s="292">
        <f t="shared" si="0"/>
        <v>2015</v>
      </c>
      <c r="N3" s="292">
        <f t="shared" si="0"/>
        <v>2016</v>
      </c>
      <c r="O3" s="292">
        <f t="shared" si="0"/>
        <v>2017</v>
      </c>
      <c r="P3" s="292">
        <f t="shared" si="0"/>
        <v>2018</v>
      </c>
      <c r="Q3" s="292">
        <f t="shared" si="0"/>
        <v>2019</v>
      </c>
      <c r="R3" s="292">
        <f t="shared" si="0"/>
        <v>2020</v>
      </c>
      <c r="S3" s="292">
        <f t="shared" si="0"/>
        <v>2021</v>
      </c>
      <c r="T3" s="292">
        <f t="shared" si="0"/>
        <v>2022</v>
      </c>
      <c r="U3" s="517">
        <v>2023</v>
      </c>
    </row>
    <row r="4" spans="2:21" ht="16">
      <c r="B4" s="313" t="s">
        <v>1</v>
      </c>
      <c r="C4" s="314" t="s">
        <v>99</v>
      </c>
      <c r="D4" s="314"/>
      <c r="E4" s="318">
        <v>22202</v>
      </c>
      <c r="F4" s="318">
        <v>22202</v>
      </c>
      <c r="G4" s="318">
        <v>22202</v>
      </c>
      <c r="H4" s="319">
        <v>22202</v>
      </c>
      <c r="I4" s="319">
        <v>22202</v>
      </c>
      <c r="J4" s="319">
        <v>22202</v>
      </c>
      <c r="K4" s="319">
        <v>22202</v>
      </c>
      <c r="L4" s="319">
        <v>22202</v>
      </c>
      <c r="M4" s="319">
        <v>22202</v>
      </c>
      <c r="N4" s="320">
        <v>16637.972846000001</v>
      </c>
      <c r="O4" s="320">
        <v>20087.592775000001</v>
      </c>
      <c r="P4" s="320">
        <v>24130.493453999999</v>
      </c>
      <c r="Q4" s="320">
        <v>22150.781414000001</v>
      </c>
      <c r="R4" s="320">
        <v>22580.26885</v>
      </c>
      <c r="S4" s="320">
        <v>22061.248437999999</v>
      </c>
      <c r="T4" s="529">
        <v>25701.4</v>
      </c>
      <c r="U4" s="514">
        <v>21929</v>
      </c>
    </row>
    <row r="5" spans="2:21" ht="16">
      <c r="B5" s="188" t="s">
        <v>265</v>
      </c>
      <c r="C5" s="78">
        <v>29392.907316000001</v>
      </c>
      <c r="D5" s="78">
        <v>25245.4692899</v>
      </c>
      <c r="E5" s="78">
        <v>23567.7629867</v>
      </c>
      <c r="F5" s="78">
        <v>24301.17438909</v>
      </c>
      <c r="G5" s="78">
        <v>24710.197203</v>
      </c>
      <c r="H5" s="74">
        <v>21845.6929757</v>
      </c>
      <c r="I5" s="74">
        <v>23183.390801000001</v>
      </c>
      <c r="J5" s="74">
        <v>15664.024636800001</v>
      </c>
      <c r="K5" s="74">
        <v>18408.965762079999</v>
      </c>
      <c r="L5" s="74">
        <v>27748.891969</v>
      </c>
      <c r="M5" s="74">
        <v>23260.979302799999</v>
      </c>
      <c r="N5" s="74">
        <v>22280.9995299</v>
      </c>
      <c r="O5" s="74">
        <v>23029.722755999999</v>
      </c>
      <c r="P5" s="74">
        <v>23014.464559</v>
      </c>
      <c r="Q5" s="74">
        <v>26348.397356000001</v>
      </c>
      <c r="R5" s="74">
        <v>21923.343606999999</v>
      </c>
      <c r="S5" s="74">
        <v>21782.051620999999</v>
      </c>
      <c r="T5" s="76">
        <v>25785.9</v>
      </c>
      <c r="U5" s="515">
        <v>21388.1</v>
      </c>
    </row>
    <row r="6" spans="2:21" ht="16">
      <c r="B6" s="188" t="s">
        <v>7</v>
      </c>
      <c r="C6" s="78">
        <v>26958.707091</v>
      </c>
      <c r="D6" s="78">
        <v>22368.64675</v>
      </c>
      <c r="E6" s="78">
        <v>35981.860355999997</v>
      </c>
      <c r="F6" s="78">
        <v>31147.881701999999</v>
      </c>
      <c r="G6" s="78">
        <v>32013.69788</v>
      </c>
      <c r="H6" s="74">
        <v>26840.400082</v>
      </c>
      <c r="I6" s="74">
        <v>30502.463681000001</v>
      </c>
      <c r="J6" s="74">
        <v>23711.663035000001</v>
      </c>
      <c r="K6" s="74">
        <v>27959.033007000002</v>
      </c>
      <c r="L6" s="74">
        <v>34816.762956999999</v>
      </c>
      <c r="M6" s="74">
        <v>28454.853615</v>
      </c>
      <c r="N6" s="74">
        <v>26975.147131000002</v>
      </c>
      <c r="O6" s="74">
        <v>30948.057059399998</v>
      </c>
      <c r="P6" s="74">
        <v>38746.891688999996</v>
      </c>
      <c r="Q6" s="74">
        <v>41104.170609399996</v>
      </c>
      <c r="R6" s="74">
        <v>35212.852637000004</v>
      </c>
      <c r="S6" s="74">
        <v>32490.414525</v>
      </c>
      <c r="T6" s="76">
        <v>44210</v>
      </c>
      <c r="U6" s="515">
        <v>32675.4</v>
      </c>
    </row>
    <row r="7" spans="2:21" ht="16">
      <c r="B7" s="188" t="s">
        <v>9</v>
      </c>
      <c r="C7" s="78">
        <v>41260.515135000001</v>
      </c>
      <c r="D7" s="78">
        <v>25824.792118000001</v>
      </c>
      <c r="E7" s="78">
        <v>30528.459105950002</v>
      </c>
      <c r="F7" s="78">
        <v>33688.39256</v>
      </c>
      <c r="G7" s="78">
        <v>32236.799940000001</v>
      </c>
      <c r="H7" s="74">
        <v>32014.085598000001</v>
      </c>
      <c r="I7" s="74">
        <v>35533.339196000001</v>
      </c>
      <c r="J7" s="74">
        <v>29018.3655</v>
      </c>
      <c r="K7" s="74">
        <v>34205.359789499998</v>
      </c>
      <c r="L7" s="74">
        <v>32971.2656212</v>
      </c>
      <c r="M7" s="74">
        <v>34070.51107</v>
      </c>
      <c r="N7" s="74">
        <v>22607.911242999999</v>
      </c>
      <c r="O7" s="74">
        <v>25718.741935800001</v>
      </c>
      <c r="P7" s="74">
        <v>26256.369716000001</v>
      </c>
      <c r="Q7" s="74">
        <v>29941.7552</v>
      </c>
      <c r="R7" s="74">
        <v>30566.59086</v>
      </c>
      <c r="S7" s="74">
        <v>25859.303349999998</v>
      </c>
      <c r="T7" s="76">
        <v>49337.3</v>
      </c>
      <c r="U7" s="515">
        <v>34434.6</v>
      </c>
    </row>
    <row r="8" spans="2:21" ht="16">
      <c r="B8" s="188" t="s">
        <v>11</v>
      </c>
      <c r="C8" s="78">
        <v>55185.231740000003</v>
      </c>
      <c r="D8" s="78">
        <v>41791.779736700002</v>
      </c>
      <c r="E8" s="78">
        <v>46352.603891010003</v>
      </c>
      <c r="F8" s="78">
        <v>40636.004618500003</v>
      </c>
      <c r="G8" s="78">
        <v>31124.459655999999</v>
      </c>
      <c r="H8" s="74">
        <v>36583.866108000002</v>
      </c>
      <c r="I8" s="74">
        <v>30157.802961000001</v>
      </c>
      <c r="J8" s="74">
        <v>22593.770601600001</v>
      </c>
      <c r="K8" s="74">
        <v>22602.930879349999</v>
      </c>
      <c r="L8" s="74">
        <v>27758.869380299999</v>
      </c>
      <c r="M8" s="74">
        <v>30798.745666999999</v>
      </c>
      <c r="N8" s="74">
        <v>22600.4703123</v>
      </c>
      <c r="O8" s="74">
        <v>19453.760482999998</v>
      </c>
      <c r="P8" s="74">
        <v>24876.288546</v>
      </c>
      <c r="Q8" s="74">
        <v>27534.7620288</v>
      </c>
      <c r="R8" s="74">
        <v>23997.1122985</v>
      </c>
      <c r="S8" s="74">
        <v>25257.042109999999</v>
      </c>
      <c r="T8" s="76">
        <v>31730.1</v>
      </c>
      <c r="U8" s="515">
        <v>25809</v>
      </c>
    </row>
    <row r="9" spans="2:21" ht="16">
      <c r="B9" s="188" t="s">
        <v>13</v>
      </c>
      <c r="C9" s="78">
        <v>15868.224007999999</v>
      </c>
      <c r="D9" s="78">
        <v>10499.5081001</v>
      </c>
      <c r="E9" s="78">
        <v>14652.888534600001</v>
      </c>
      <c r="F9" s="78">
        <v>16552.620056100001</v>
      </c>
      <c r="G9" s="78">
        <v>14111.571695000001</v>
      </c>
      <c r="H9" s="74">
        <v>12902.979711</v>
      </c>
      <c r="I9" s="74">
        <v>12428.351724</v>
      </c>
      <c r="J9" s="74">
        <v>9357.8602311000013</v>
      </c>
      <c r="K9" s="74">
        <v>11828.457907</v>
      </c>
      <c r="L9" s="74">
        <v>15217.204752</v>
      </c>
      <c r="M9" s="74">
        <v>13170.184738</v>
      </c>
      <c r="N9" s="74">
        <v>9428.4615680000006</v>
      </c>
      <c r="O9" s="74">
        <v>16037.17771</v>
      </c>
      <c r="P9" s="74">
        <v>17000.797697999998</v>
      </c>
      <c r="Q9" s="74">
        <v>18228.619144</v>
      </c>
      <c r="R9" s="74">
        <v>17948.642776000001</v>
      </c>
      <c r="S9" s="74">
        <v>16206.950102999999</v>
      </c>
      <c r="T9" s="76">
        <v>19688.099999999999</v>
      </c>
      <c r="U9" s="515">
        <v>13204.6</v>
      </c>
    </row>
    <row r="10" spans="2:21" ht="16">
      <c r="B10" s="188" t="s">
        <v>15</v>
      </c>
      <c r="C10" s="73">
        <v>15868.224007999999</v>
      </c>
      <c r="D10" s="78">
        <v>10499.5081001</v>
      </c>
      <c r="E10" s="78">
        <v>14652.888534600001</v>
      </c>
      <c r="F10" s="78">
        <v>16552.620056100001</v>
      </c>
      <c r="G10" s="78">
        <v>14111.571695000001</v>
      </c>
      <c r="H10" s="74">
        <v>12902.979711</v>
      </c>
      <c r="I10" s="74">
        <v>12428.351724</v>
      </c>
      <c r="J10" s="74">
        <v>9357.8602311000013</v>
      </c>
      <c r="K10" s="74">
        <v>11828.457907</v>
      </c>
      <c r="L10" s="74">
        <v>15217.204752</v>
      </c>
      <c r="M10" s="74">
        <v>34890.040952000003</v>
      </c>
      <c r="N10" s="74">
        <v>40578.811333999998</v>
      </c>
      <c r="O10" s="74">
        <v>30713.480439999999</v>
      </c>
      <c r="P10" s="74">
        <v>36195.571279000003</v>
      </c>
      <c r="Q10" s="74">
        <v>36241.930304000001</v>
      </c>
      <c r="R10" s="74">
        <v>31547.588145000002</v>
      </c>
      <c r="S10" s="74">
        <v>33615.285248</v>
      </c>
      <c r="T10" s="76">
        <v>35273.800000000003</v>
      </c>
      <c r="U10" s="515">
        <v>33846.199999999997</v>
      </c>
    </row>
    <row r="11" spans="2:21" ht="16">
      <c r="B11" s="188" t="s">
        <v>17</v>
      </c>
      <c r="C11" s="78">
        <v>36376.348841999999</v>
      </c>
      <c r="D11" s="78">
        <v>29910.133901000001</v>
      </c>
      <c r="E11" s="78">
        <v>29510.600627299998</v>
      </c>
      <c r="F11" s="78">
        <v>31753.572598899998</v>
      </c>
      <c r="G11" s="78">
        <v>30727.161136999999</v>
      </c>
      <c r="H11" s="74">
        <v>30542.593332</v>
      </c>
      <c r="I11" s="74">
        <v>27850.48862</v>
      </c>
      <c r="J11" s="74">
        <v>22650.364281999999</v>
      </c>
      <c r="K11" s="74">
        <v>27895.277855</v>
      </c>
      <c r="L11" s="74">
        <v>33786.636504000002</v>
      </c>
      <c r="M11" s="74">
        <v>27457.605135000002</v>
      </c>
      <c r="N11" s="74">
        <v>24207.785433000001</v>
      </c>
      <c r="O11" s="74">
        <v>28313.494856000001</v>
      </c>
      <c r="P11" s="74">
        <v>30103.161044979999</v>
      </c>
      <c r="Q11" s="74">
        <v>32120.591853999998</v>
      </c>
      <c r="R11" s="74">
        <v>28978.406478000001</v>
      </c>
      <c r="S11" s="74">
        <v>28343.250267579999</v>
      </c>
      <c r="T11" s="76">
        <v>30204.1</v>
      </c>
      <c r="U11" s="515">
        <v>28614.400000000001</v>
      </c>
    </row>
    <row r="12" spans="2:21" ht="16">
      <c r="B12" s="188" t="s">
        <v>19</v>
      </c>
      <c r="C12" s="82">
        <f>AVERAGE(F12:I12)</f>
        <v>20892.121217675001</v>
      </c>
      <c r="D12" s="82">
        <f>AVERAGE(G12:J12)</f>
        <v>20015.659626000001</v>
      </c>
      <c r="E12" s="82">
        <f>AVERAGE(H12:K12)</f>
        <v>18215.064961749998</v>
      </c>
      <c r="F12" s="78">
        <v>17812.716152699999</v>
      </c>
      <c r="G12" s="78">
        <v>23156.974675000001</v>
      </c>
      <c r="H12" s="74">
        <v>20540.549392000001</v>
      </c>
      <c r="I12" s="74">
        <v>22058.244651000001</v>
      </c>
      <c r="J12" s="74">
        <v>14306.869785999999</v>
      </c>
      <c r="K12" s="74">
        <v>15954.596018</v>
      </c>
      <c r="L12" s="74">
        <v>21363.927495899999</v>
      </c>
      <c r="M12" s="74">
        <v>18435.299611999999</v>
      </c>
      <c r="N12" s="74">
        <v>19018.719164599999</v>
      </c>
      <c r="O12" s="74">
        <v>21989.221989000001</v>
      </c>
      <c r="P12" s="74">
        <v>23651.070899999999</v>
      </c>
      <c r="Q12" s="74">
        <v>22541.220369999999</v>
      </c>
      <c r="R12" s="74">
        <v>20459.673906</v>
      </c>
      <c r="S12" s="74">
        <v>19373.068125999998</v>
      </c>
      <c r="T12" s="76">
        <v>33698.6</v>
      </c>
      <c r="U12" s="515">
        <v>23199.200000000001</v>
      </c>
    </row>
    <row r="13" spans="2:21" ht="16">
      <c r="B13" s="188" t="s">
        <v>21</v>
      </c>
      <c r="C13" s="78">
        <v>22235.645260000001</v>
      </c>
      <c r="D13" s="78">
        <v>16106.949925000001</v>
      </c>
      <c r="E13" s="78">
        <v>16458.874127999999</v>
      </c>
      <c r="F13" s="78">
        <v>19919.940526999999</v>
      </c>
      <c r="G13" s="78">
        <v>24531.671814000001</v>
      </c>
      <c r="H13" s="74">
        <v>21308.273617999999</v>
      </c>
      <c r="I13" s="74">
        <v>21822.326622</v>
      </c>
      <c r="J13" s="74">
        <v>17750.588829</v>
      </c>
      <c r="K13" s="74">
        <v>18956.762562</v>
      </c>
      <c r="L13" s="74">
        <v>19155.710685999999</v>
      </c>
      <c r="M13" s="74">
        <v>19547.277203000001</v>
      </c>
      <c r="N13" s="74">
        <v>17925.814353000002</v>
      </c>
      <c r="O13" s="74">
        <v>17986.279190000001</v>
      </c>
      <c r="P13" s="74">
        <v>26884.139810000001</v>
      </c>
      <c r="Q13" s="74">
        <v>22128.425593</v>
      </c>
      <c r="R13" s="74">
        <v>21329.515222999999</v>
      </c>
      <c r="S13" s="74">
        <v>19750.705268000002</v>
      </c>
      <c r="T13" s="76">
        <v>23030.9</v>
      </c>
      <c r="U13" s="515">
        <v>18863.900000000001</v>
      </c>
    </row>
    <row r="14" spans="2:21" ht="16">
      <c r="B14" s="188" t="s">
        <v>23</v>
      </c>
      <c r="C14" s="78">
        <v>32954.065970000003</v>
      </c>
      <c r="D14" s="78">
        <v>27366.341971999998</v>
      </c>
      <c r="E14" s="78">
        <v>31742.835739999999</v>
      </c>
      <c r="F14" s="78">
        <v>37319.754931000003</v>
      </c>
      <c r="G14" s="78">
        <v>34419.529882000003</v>
      </c>
      <c r="H14" s="74">
        <v>39560.138052000002</v>
      </c>
      <c r="I14" s="74">
        <v>42070.330220000003</v>
      </c>
      <c r="J14" s="74">
        <v>27074.297501199999</v>
      </c>
      <c r="K14" s="74">
        <v>31131.744144600001</v>
      </c>
      <c r="L14" s="74">
        <v>40216.516355200001</v>
      </c>
      <c r="M14" s="74">
        <v>39128.388271000003</v>
      </c>
      <c r="N14" s="74">
        <v>30141.325076000001</v>
      </c>
      <c r="O14" s="74">
        <v>34891.309053999998</v>
      </c>
      <c r="P14" s="74">
        <v>47479.061479000004</v>
      </c>
      <c r="Q14" s="74">
        <v>44847.220015999999</v>
      </c>
      <c r="R14" s="74">
        <v>37826.386322999999</v>
      </c>
      <c r="S14" s="74">
        <v>34376.974626000003</v>
      </c>
      <c r="T14" s="76">
        <v>57698.6</v>
      </c>
      <c r="U14" s="515">
        <v>36663</v>
      </c>
    </row>
    <row r="15" spans="2:21" ht="16">
      <c r="B15" s="188" t="s">
        <v>25</v>
      </c>
      <c r="C15" s="82"/>
      <c r="D15" s="78">
        <v>25643.316248800002</v>
      </c>
      <c r="E15" s="78">
        <v>30582.7721155</v>
      </c>
      <c r="F15" s="78">
        <v>29897.047770000001</v>
      </c>
      <c r="G15" s="78">
        <v>31472.388438000002</v>
      </c>
      <c r="H15" s="74">
        <v>28752.5077084</v>
      </c>
      <c r="I15" s="74">
        <v>29548.445592</v>
      </c>
      <c r="J15" s="74">
        <v>23063.967455999998</v>
      </c>
      <c r="K15" s="74">
        <v>25113.471844</v>
      </c>
      <c r="L15" s="74">
        <v>30095.035649549998</v>
      </c>
      <c r="M15" s="74">
        <v>32464.310350399999</v>
      </c>
      <c r="N15" s="74">
        <v>27336.163389230001</v>
      </c>
      <c r="O15" s="74">
        <v>26320.716774799999</v>
      </c>
      <c r="P15" s="74">
        <v>50419.869072000001</v>
      </c>
      <c r="Q15" s="74">
        <v>40370.422023990002</v>
      </c>
      <c r="R15" s="74">
        <v>38562.866615799998</v>
      </c>
      <c r="S15" s="76">
        <v>32087.7</v>
      </c>
      <c r="T15" s="76">
        <v>35812.1</v>
      </c>
      <c r="U15" s="515">
        <v>27423.8</v>
      </c>
    </row>
    <row r="16" spans="2:21" ht="16">
      <c r="B16" s="188" t="s">
        <v>27</v>
      </c>
      <c r="C16" s="78">
        <v>33802.339789899997</v>
      </c>
      <c r="D16" s="78">
        <v>25884.503594999998</v>
      </c>
      <c r="E16" s="78">
        <v>29612.855920000002</v>
      </c>
      <c r="F16" s="78">
        <v>28422.651153999999</v>
      </c>
      <c r="G16" s="78">
        <v>35606.199775000001</v>
      </c>
      <c r="H16" s="74">
        <v>30728.323353</v>
      </c>
      <c r="I16" s="74">
        <v>29182.491829999999</v>
      </c>
      <c r="J16" s="74">
        <v>27730.441869999999</v>
      </c>
      <c r="K16" s="74">
        <v>25523.747904</v>
      </c>
      <c r="L16" s="74">
        <v>34799.062916199997</v>
      </c>
      <c r="M16" s="74">
        <v>30234.882016899999</v>
      </c>
      <c r="N16" s="74">
        <v>31017.0146604</v>
      </c>
      <c r="O16" s="74">
        <v>41636.472963</v>
      </c>
      <c r="P16" s="74">
        <v>39223.090667999997</v>
      </c>
      <c r="Q16" s="74">
        <v>46563.160459999999</v>
      </c>
      <c r="R16" s="74">
        <v>42796.095796000001</v>
      </c>
      <c r="S16" s="74">
        <v>39804.985536</v>
      </c>
      <c r="T16" s="76">
        <v>42731.4</v>
      </c>
      <c r="U16" s="515">
        <v>37442.199999999997</v>
      </c>
    </row>
    <row r="17" spans="2:21" ht="16">
      <c r="B17" s="188" t="s">
        <v>29</v>
      </c>
      <c r="C17" s="78">
        <v>27115.660145000002</v>
      </c>
      <c r="D17" s="78">
        <v>19455.070899400002</v>
      </c>
      <c r="E17" s="78">
        <v>32611.9166286</v>
      </c>
      <c r="F17" s="78">
        <v>22112.878865899998</v>
      </c>
      <c r="G17" s="78">
        <v>23708.932350999999</v>
      </c>
      <c r="H17" s="74">
        <v>21775.89338713</v>
      </c>
      <c r="I17" s="74">
        <v>24102.932204000001</v>
      </c>
      <c r="J17" s="74">
        <v>18503.801670780002</v>
      </c>
      <c r="K17" s="74">
        <v>17959.57105214</v>
      </c>
      <c r="L17" s="74">
        <v>21201.598157</v>
      </c>
      <c r="M17" s="74">
        <v>23048.598736</v>
      </c>
      <c r="N17" s="74">
        <v>20924.243046</v>
      </c>
      <c r="O17" s="74">
        <v>20920.813744679999</v>
      </c>
      <c r="P17" s="74">
        <v>21845.94460631</v>
      </c>
      <c r="Q17" s="74">
        <v>18076.497846999999</v>
      </c>
      <c r="R17" s="74">
        <v>18748.162853000002</v>
      </c>
      <c r="S17" s="75">
        <f>AVERAGE(Q17:R17)</f>
        <v>18412.33035</v>
      </c>
      <c r="T17" s="76">
        <v>17963.400000000001</v>
      </c>
      <c r="U17" s="515">
        <f>AVERAGE(S17:T17)</f>
        <v>18187.865174999999</v>
      </c>
    </row>
    <row r="18" spans="2:21" ht="16">
      <c r="B18" s="188" t="s">
        <v>31</v>
      </c>
      <c r="C18" s="82"/>
      <c r="D18" s="82"/>
      <c r="E18" s="71">
        <v>26335.824489300001</v>
      </c>
      <c r="F18" s="71">
        <v>29449.343841800001</v>
      </c>
      <c r="G18" s="71">
        <v>26117.360974899999</v>
      </c>
      <c r="H18" s="74">
        <v>21735.8959311</v>
      </c>
      <c r="I18" s="74">
        <v>21121.30463997</v>
      </c>
      <c r="J18" s="74">
        <v>17596.068023610002</v>
      </c>
      <c r="K18" s="74">
        <v>21027.825746760001</v>
      </c>
      <c r="L18" s="74">
        <v>23883.570165199999</v>
      </c>
      <c r="M18" s="74">
        <v>39513.569055699998</v>
      </c>
      <c r="N18" s="74">
        <v>24326.903397800001</v>
      </c>
      <c r="O18" s="74">
        <v>26817.039540680002</v>
      </c>
      <c r="P18" s="74">
        <v>29087.645189800001</v>
      </c>
      <c r="Q18" s="74">
        <v>34512.178615299999</v>
      </c>
      <c r="R18" s="74">
        <v>39493.237539200003</v>
      </c>
      <c r="S18" s="74">
        <v>30692.8010909</v>
      </c>
      <c r="T18" s="76">
        <v>32051.1</v>
      </c>
      <c r="U18" s="515">
        <v>25527.3</v>
      </c>
    </row>
    <row r="19" spans="2:21" ht="16">
      <c r="B19" s="188" t="s">
        <v>33</v>
      </c>
      <c r="C19" s="78">
        <v>10932.7889196</v>
      </c>
      <c r="D19" s="78">
        <v>7756.4843182000004</v>
      </c>
      <c r="E19" s="78">
        <v>25730.283267999999</v>
      </c>
      <c r="F19" s="78">
        <v>5956.3838859999996</v>
      </c>
      <c r="G19" s="78">
        <v>11052.895769000001</v>
      </c>
      <c r="H19" s="74">
        <v>22142.836879999999</v>
      </c>
      <c r="I19" s="74">
        <v>15390.285878000001</v>
      </c>
      <c r="J19" s="74">
        <v>18425.2074168</v>
      </c>
      <c r="K19" s="74">
        <v>16185.02160165</v>
      </c>
      <c r="L19" s="74">
        <v>27233.6756068</v>
      </c>
      <c r="M19" s="74">
        <v>16606.404232000001</v>
      </c>
      <c r="N19" s="74">
        <v>11310.556402800001</v>
      </c>
      <c r="O19" s="74">
        <v>17527.824694999999</v>
      </c>
      <c r="P19" s="74">
        <v>22312.400666000001</v>
      </c>
      <c r="Q19" s="74">
        <v>22532.593387199999</v>
      </c>
      <c r="R19" s="74">
        <v>15166.1953235</v>
      </c>
      <c r="S19" s="74">
        <v>15311.254263000001</v>
      </c>
      <c r="T19" s="76">
        <v>19267.599999999999</v>
      </c>
      <c r="U19" s="515">
        <v>16853.599999999999</v>
      </c>
    </row>
    <row r="20" spans="2:21" ht="16">
      <c r="B20" s="188" t="s">
        <v>74</v>
      </c>
      <c r="C20" s="78">
        <v>41438.364370000003</v>
      </c>
      <c r="D20" s="78">
        <v>40902.609424000002</v>
      </c>
      <c r="E20" s="78">
        <v>39202.730229000001</v>
      </c>
      <c r="F20" s="78">
        <v>50312.264365000003</v>
      </c>
      <c r="G20" s="78">
        <v>59819.244203000002</v>
      </c>
      <c r="H20" s="74">
        <v>42468.700824</v>
      </c>
      <c r="I20" s="74">
        <v>50711.861585999999</v>
      </c>
      <c r="J20" s="74">
        <v>44988.573922000003</v>
      </c>
      <c r="K20" s="74">
        <v>47045.741489100001</v>
      </c>
      <c r="L20" s="74">
        <v>54273.358558</v>
      </c>
      <c r="M20" s="74">
        <v>56173.429322000004</v>
      </c>
      <c r="N20" s="74">
        <v>43210.462457000001</v>
      </c>
      <c r="O20" s="74">
        <v>40957.755980000002</v>
      </c>
      <c r="P20" s="74">
        <v>53776.824924</v>
      </c>
      <c r="Q20" s="74">
        <v>65167.446878000002</v>
      </c>
      <c r="R20" s="74">
        <v>48794.963229000001</v>
      </c>
      <c r="S20" s="76">
        <v>46441.1</v>
      </c>
      <c r="T20" s="76">
        <v>53755.8</v>
      </c>
      <c r="U20" s="515">
        <v>52032.4</v>
      </c>
    </row>
    <row r="21" spans="2:21" ht="16">
      <c r="B21" s="188" t="s">
        <v>36</v>
      </c>
      <c r="C21" s="83">
        <v>26357.37327</v>
      </c>
      <c r="D21" s="83">
        <v>20248.715385</v>
      </c>
      <c r="E21" s="83">
        <v>23215.996350099998</v>
      </c>
      <c r="F21" s="83">
        <v>27176.884966099999</v>
      </c>
      <c r="G21" s="83">
        <v>30401.557197400001</v>
      </c>
      <c r="H21" s="75">
        <v>24489.4684265</v>
      </c>
      <c r="I21" s="75">
        <v>23695.749584699999</v>
      </c>
      <c r="J21" s="75">
        <v>16428.086423799999</v>
      </c>
      <c r="K21" s="75">
        <v>20071.425774399999</v>
      </c>
      <c r="L21" s="75">
        <v>27431.790587399999</v>
      </c>
      <c r="M21" s="75">
        <v>23778.656301399998</v>
      </c>
      <c r="N21" s="75">
        <v>19267.8377731</v>
      </c>
      <c r="O21" s="75">
        <v>25242.267613470001</v>
      </c>
      <c r="P21" s="75">
        <v>29429.511330500001</v>
      </c>
      <c r="Q21" s="75">
        <v>31152.273220399999</v>
      </c>
      <c r="R21" s="75">
        <v>27585.236723800001</v>
      </c>
      <c r="S21" s="75">
        <v>27207.626576999999</v>
      </c>
      <c r="T21" s="76">
        <v>33044.1</v>
      </c>
      <c r="U21" s="515">
        <v>25713.5</v>
      </c>
    </row>
    <row r="22" spans="2:21" ht="16">
      <c r="B22" s="188" t="s">
        <v>67</v>
      </c>
      <c r="C22" s="83">
        <v>42607.673790699999</v>
      </c>
      <c r="D22" s="83">
        <v>34021.311665000001</v>
      </c>
      <c r="E22" s="83">
        <v>36591.378233000003</v>
      </c>
      <c r="F22" s="83">
        <v>47132.2717405</v>
      </c>
      <c r="G22" s="83">
        <v>51203.201454000002</v>
      </c>
      <c r="H22" s="75">
        <v>41068.157949</v>
      </c>
      <c r="I22" s="75">
        <v>42184.111438400003</v>
      </c>
      <c r="J22" s="75">
        <v>34670.096628400002</v>
      </c>
      <c r="K22" s="75">
        <v>37434.062255600002</v>
      </c>
      <c r="L22" s="75">
        <v>50496.278697200003</v>
      </c>
      <c r="M22" s="75">
        <v>29517.979286000002</v>
      </c>
      <c r="N22" s="75">
        <v>24581.582568999998</v>
      </c>
      <c r="O22" s="75">
        <v>49475.046088000003</v>
      </c>
      <c r="P22" s="75">
        <v>53153.103973999998</v>
      </c>
      <c r="Q22" s="75">
        <v>52561.559604000002</v>
      </c>
      <c r="R22" s="75">
        <v>42254.408102000001</v>
      </c>
      <c r="S22" s="75">
        <v>51222.466495000001</v>
      </c>
      <c r="T22" s="76">
        <v>49883.8</v>
      </c>
      <c r="U22" s="515">
        <v>40974.199999999997</v>
      </c>
    </row>
    <row r="23" spans="2:21" ht="16">
      <c r="B23" s="188" t="s">
        <v>39</v>
      </c>
      <c r="C23" s="83">
        <v>24265.77248</v>
      </c>
      <c r="D23" s="83">
        <v>27312.000304000001</v>
      </c>
      <c r="E23" s="83">
        <v>27225.040879</v>
      </c>
      <c r="F23" s="83">
        <v>29110.445275999999</v>
      </c>
      <c r="G23" s="83">
        <v>28463.616307</v>
      </c>
      <c r="H23" s="75">
        <v>23126.249188999998</v>
      </c>
      <c r="I23" s="75">
        <v>28202.742156</v>
      </c>
      <c r="J23" s="75">
        <v>24644.880668000002</v>
      </c>
      <c r="K23" s="75">
        <v>25226.84288</v>
      </c>
      <c r="L23" s="75">
        <v>31623.202345000002</v>
      </c>
      <c r="M23" s="75">
        <v>24667.367581999999</v>
      </c>
      <c r="N23" s="75">
        <v>20865.093799999999</v>
      </c>
      <c r="O23" s="75">
        <v>21790.537804</v>
      </c>
      <c r="P23" s="75">
        <v>24614.206804000001</v>
      </c>
      <c r="Q23" s="75">
        <v>26022.087996999999</v>
      </c>
      <c r="R23" s="75">
        <v>22666.000991000001</v>
      </c>
      <c r="S23" s="75">
        <v>29048.376039999999</v>
      </c>
      <c r="T23" s="76">
        <v>35606.6</v>
      </c>
      <c r="U23" s="515">
        <v>31584.5</v>
      </c>
    </row>
    <row r="24" spans="2:21" ht="16">
      <c r="B24" s="188" t="s">
        <v>41</v>
      </c>
      <c r="C24" s="83">
        <v>32076.397067999998</v>
      </c>
      <c r="D24" s="83">
        <v>29721.626858</v>
      </c>
      <c r="E24" s="83">
        <v>28264.888778</v>
      </c>
      <c r="F24" s="83">
        <v>29371.789300199998</v>
      </c>
      <c r="G24" s="83">
        <v>26528.464816</v>
      </c>
      <c r="H24" s="75">
        <v>30277.732651999999</v>
      </c>
      <c r="I24" s="75">
        <v>22139.668765999999</v>
      </c>
      <c r="J24" s="75">
        <v>14230.82196901</v>
      </c>
      <c r="K24" s="75">
        <v>15825.301525999999</v>
      </c>
      <c r="L24" s="75">
        <v>21926.522357999998</v>
      </c>
      <c r="M24" s="75">
        <v>30332.190896</v>
      </c>
      <c r="N24" s="75">
        <v>16905.711286000002</v>
      </c>
      <c r="O24" s="75">
        <v>21451.9567446</v>
      </c>
      <c r="P24" s="75">
        <v>25623.560649800002</v>
      </c>
      <c r="Q24" s="75">
        <v>23666.831805999998</v>
      </c>
      <c r="R24" s="75">
        <v>22273.975381</v>
      </c>
      <c r="S24" s="75">
        <v>25361.355970000001</v>
      </c>
      <c r="T24" s="76">
        <v>33705.699999999997</v>
      </c>
      <c r="U24" s="515">
        <v>24255.7</v>
      </c>
    </row>
    <row r="25" spans="2:21" ht="16">
      <c r="B25" s="188" t="s">
        <v>44</v>
      </c>
      <c r="C25" s="78">
        <v>22718.333640000001</v>
      </c>
      <c r="D25" s="78">
        <v>17898.64788</v>
      </c>
      <c r="E25" s="78">
        <v>24041.182843999999</v>
      </c>
      <c r="F25" s="78">
        <v>32948.501787000001</v>
      </c>
      <c r="G25" s="78">
        <v>36239.388079279997</v>
      </c>
      <c r="H25" s="74">
        <v>27545.339085240001</v>
      </c>
      <c r="I25" s="74">
        <v>30615.625619499999</v>
      </c>
      <c r="J25" s="74">
        <v>18419.603502000002</v>
      </c>
      <c r="K25" s="74">
        <v>20033.557787999998</v>
      </c>
      <c r="L25" s="74">
        <v>23417.476782400001</v>
      </c>
      <c r="M25" s="74">
        <v>16780.691303</v>
      </c>
      <c r="N25" s="74">
        <v>14456.0598221</v>
      </c>
      <c r="O25" s="74">
        <v>18060.883082699998</v>
      </c>
      <c r="P25" s="74">
        <v>27179.769782399999</v>
      </c>
      <c r="Q25" s="74">
        <v>24975.488209399999</v>
      </c>
      <c r="R25" s="74">
        <v>23165.715399000001</v>
      </c>
      <c r="S25" s="74">
        <v>25433.384589000001</v>
      </c>
      <c r="T25" s="76">
        <v>29466.2</v>
      </c>
      <c r="U25" s="515">
        <v>21065</v>
      </c>
    </row>
    <row r="26" spans="2:21" ht="16">
      <c r="B26" s="188" t="s">
        <v>46</v>
      </c>
      <c r="C26" s="77" t="s">
        <v>102</v>
      </c>
      <c r="D26" s="70"/>
      <c r="E26" s="70"/>
      <c r="F26" s="70"/>
      <c r="G26" s="70"/>
      <c r="H26" s="676" t="s">
        <v>97</v>
      </c>
      <c r="I26" s="677"/>
      <c r="J26" s="678"/>
      <c r="K26" s="70"/>
      <c r="L26" s="70"/>
      <c r="M26" s="70"/>
      <c r="N26" s="70"/>
      <c r="O26" s="70"/>
      <c r="P26" s="70"/>
      <c r="Q26" s="70"/>
      <c r="R26" s="70"/>
      <c r="S26" s="70"/>
      <c r="T26" s="70"/>
      <c r="U26" s="86"/>
    </row>
    <row r="27" spans="2:21" ht="16">
      <c r="B27" s="188" t="s">
        <v>49</v>
      </c>
      <c r="C27" s="78">
        <v>121657.29509</v>
      </c>
      <c r="D27" s="78">
        <v>85301.747499999998</v>
      </c>
      <c r="E27" s="78">
        <v>98797.827409999998</v>
      </c>
      <c r="F27" s="78">
        <v>109995.04498000001</v>
      </c>
      <c r="G27" s="78">
        <v>127642.892324</v>
      </c>
      <c r="H27" s="74">
        <v>124772.91572</v>
      </c>
      <c r="I27" s="74">
        <v>100631.11242</v>
      </c>
      <c r="J27" s="74">
        <v>85616.424583</v>
      </c>
      <c r="K27" s="74">
        <v>106370.424852</v>
      </c>
      <c r="L27" s="74">
        <v>94743.609509999995</v>
      </c>
      <c r="M27" s="74">
        <v>62941.460169999998</v>
      </c>
      <c r="N27" s="74">
        <v>78633.784209999998</v>
      </c>
      <c r="O27" s="74">
        <v>66747.933550999995</v>
      </c>
      <c r="P27" s="74">
        <v>64785.399069999999</v>
      </c>
      <c r="Q27" s="74">
        <v>82229.210000000006</v>
      </c>
      <c r="R27" s="74">
        <v>117295.0868</v>
      </c>
      <c r="S27" s="74">
        <v>92462.608129999993</v>
      </c>
      <c r="T27" s="76">
        <v>109298.4</v>
      </c>
      <c r="U27" s="515">
        <f>AVERAGE(S27:T27)</f>
        <v>100880.50406499999</v>
      </c>
    </row>
    <row r="28" spans="2:21" ht="16">
      <c r="B28" s="188" t="s">
        <v>51</v>
      </c>
      <c r="C28" s="78">
        <v>125164.690044</v>
      </c>
      <c r="D28" s="78">
        <v>97503.075899999996</v>
      </c>
      <c r="E28" s="78">
        <v>134490.85352500001</v>
      </c>
      <c r="F28" s="78">
        <v>123193.655011</v>
      </c>
      <c r="G28" s="78">
        <v>129957.0303688</v>
      </c>
      <c r="H28" s="74">
        <v>132668.64356500001</v>
      </c>
      <c r="I28" s="74">
        <v>137198.325591</v>
      </c>
      <c r="J28" s="74">
        <v>111939.486194</v>
      </c>
      <c r="K28" s="74">
        <v>120326.17903188</v>
      </c>
      <c r="L28" s="74">
        <v>128886.928056</v>
      </c>
      <c r="M28" s="74">
        <v>109648.31253</v>
      </c>
      <c r="N28" s="74">
        <v>110177.67213399999</v>
      </c>
      <c r="O28" s="74">
        <v>125637.969724</v>
      </c>
      <c r="P28" s="74">
        <v>137477.18555600001</v>
      </c>
      <c r="Q28" s="74">
        <v>160822.56492</v>
      </c>
      <c r="R28" s="74">
        <v>121419.9487213</v>
      </c>
      <c r="S28" s="76">
        <v>112490.8</v>
      </c>
      <c r="T28" s="76">
        <v>136597.70000000001</v>
      </c>
      <c r="U28" s="515">
        <f>AVERAGE(S28:T28)</f>
        <v>124544.25</v>
      </c>
    </row>
    <row r="29" spans="2:21" ht="16">
      <c r="B29" s="188" t="s">
        <v>53</v>
      </c>
      <c r="C29" s="78">
        <v>98155.086769999994</v>
      </c>
      <c r="D29" s="78">
        <v>77789.769950999995</v>
      </c>
      <c r="E29" s="78">
        <v>87303.823920039998</v>
      </c>
      <c r="F29" s="78">
        <v>109670.25810200001</v>
      </c>
      <c r="G29" s="78">
        <v>109126.28381199999</v>
      </c>
      <c r="H29" s="74">
        <v>95379.966709999993</v>
      </c>
      <c r="I29" s="74">
        <v>98152.614619</v>
      </c>
      <c r="J29" s="74">
        <v>74878.334679999985</v>
      </c>
      <c r="K29" s="74">
        <v>83556.293978000002</v>
      </c>
      <c r="L29" s="74">
        <v>89981.783933400002</v>
      </c>
      <c r="M29" s="74">
        <v>84377.322018000006</v>
      </c>
      <c r="N29" s="74">
        <v>88595.176193000007</v>
      </c>
      <c r="O29" s="74">
        <v>102479.50298</v>
      </c>
      <c r="P29" s="74">
        <v>91931.610042</v>
      </c>
      <c r="Q29" s="74">
        <v>99063.742750000005</v>
      </c>
      <c r="R29" s="74">
        <v>89482.341509999998</v>
      </c>
      <c r="S29" s="76">
        <v>83241.899999999994</v>
      </c>
      <c r="T29" s="76">
        <v>119279.2</v>
      </c>
      <c r="U29" s="515">
        <v>79962.3</v>
      </c>
    </row>
    <row r="30" spans="2:21" ht="16">
      <c r="B30" s="188" t="s">
        <v>55</v>
      </c>
      <c r="C30" s="78">
        <v>142026.84080000001</v>
      </c>
      <c r="D30" s="78">
        <v>98849.460619999998</v>
      </c>
      <c r="E30" s="78">
        <v>107521.101337</v>
      </c>
      <c r="F30" s="78">
        <v>116594.53432999999</v>
      </c>
      <c r="G30" s="78">
        <v>122159.89023200001</v>
      </c>
      <c r="H30" s="74">
        <v>102498.14369</v>
      </c>
      <c r="I30" s="74">
        <v>118096.250396</v>
      </c>
      <c r="J30" s="74">
        <v>80995.746635000003</v>
      </c>
      <c r="K30" s="74">
        <v>111415.99298</v>
      </c>
      <c r="L30" s="74">
        <v>130745.871856</v>
      </c>
      <c r="M30" s="74">
        <v>222251.53208</v>
      </c>
      <c r="N30" s="74">
        <v>122631.675005</v>
      </c>
      <c r="O30" s="74">
        <v>116296.90985700001</v>
      </c>
      <c r="P30" s="74">
        <v>114910.22082</v>
      </c>
      <c r="Q30" s="74">
        <v>64732.234850000001</v>
      </c>
      <c r="R30" s="74">
        <v>91916.962849999996</v>
      </c>
      <c r="S30" s="74">
        <v>108367.5941</v>
      </c>
      <c r="T30" s="76">
        <v>135372.1</v>
      </c>
      <c r="U30" s="515">
        <f>AVERAGE(S30:T30)</f>
        <v>121869.84705000001</v>
      </c>
    </row>
    <row r="31" spans="2:21" ht="16">
      <c r="B31" s="188" t="s">
        <v>57</v>
      </c>
      <c r="C31" s="78">
        <v>118871.85408</v>
      </c>
      <c r="D31" s="78">
        <v>92457.625209999998</v>
      </c>
      <c r="E31" s="78">
        <v>102516.34507</v>
      </c>
      <c r="F31" s="78">
        <v>102295.216596</v>
      </c>
      <c r="G31" s="78">
        <v>111983.064638</v>
      </c>
      <c r="H31" s="74">
        <v>90298.191690000007</v>
      </c>
      <c r="I31" s="74">
        <v>102148.03156</v>
      </c>
      <c r="J31" s="74">
        <v>81968.369760000001</v>
      </c>
      <c r="K31" s="74">
        <v>79803.728101999994</v>
      </c>
      <c r="L31" s="74">
        <v>109593.632212</v>
      </c>
      <c r="M31" s="74">
        <v>92171.322000999993</v>
      </c>
      <c r="N31" s="74">
        <v>75493.682843999995</v>
      </c>
      <c r="O31" s="74">
        <v>89869.913428</v>
      </c>
      <c r="P31" s="74">
        <v>113921.56915</v>
      </c>
      <c r="Q31" s="74">
        <v>95050.280784999995</v>
      </c>
      <c r="R31" s="74">
        <v>90220.095228000006</v>
      </c>
      <c r="S31" s="74">
        <v>87886.641682999994</v>
      </c>
      <c r="T31" s="76">
        <v>96032.9</v>
      </c>
      <c r="U31" s="515">
        <v>94991.4</v>
      </c>
    </row>
    <row r="32" spans="2:21" ht="16">
      <c r="B32" s="188" t="s">
        <v>68</v>
      </c>
      <c r="C32" s="83">
        <v>40572.027065000002</v>
      </c>
      <c r="D32" s="83">
        <v>30494.902054999999</v>
      </c>
      <c r="E32" s="83">
        <v>34095.178420999997</v>
      </c>
      <c r="F32" s="83">
        <v>36995.109172999997</v>
      </c>
      <c r="G32" s="83">
        <v>35004.631496000002</v>
      </c>
      <c r="H32" s="75">
        <v>30554.544473999998</v>
      </c>
      <c r="I32" s="75">
        <v>32688.756408000001</v>
      </c>
      <c r="J32" s="75">
        <v>24839.896195000001</v>
      </c>
      <c r="K32" s="75">
        <v>26389.625956</v>
      </c>
      <c r="L32" s="75">
        <v>28732.688880999998</v>
      </c>
      <c r="M32" s="75">
        <v>28086.582575</v>
      </c>
      <c r="N32" s="75">
        <v>24381.351701</v>
      </c>
      <c r="O32" s="75">
        <v>22560.323851000001</v>
      </c>
      <c r="P32" s="75">
        <v>29120.262771999998</v>
      </c>
      <c r="Q32" s="75">
        <v>31332.023406</v>
      </c>
      <c r="R32" s="75">
        <v>26329.834342999999</v>
      </c>
      <c r="S32" s="75">
        <v>25411.702077000002</v>
      </c>
      <c r="T32" s="76">
        <v>28451.8</v>
      </c>
      <c r="U32" s="515">
        <v>25179.4</v>
      </c>
    </row>
    <row r="33" spans="2:23" ht="16">
      <c r="B33" s="188" t="s">
        <v>59</v>
      </c>
      <c r="C33" s="82"/>
      <c r="D33" s="82"/>
      <c r="E33" s="82"/>
      <c r="F33" s="78">
        <v>203038.9471202</v>
      </c>
      <c r="G33" s="78">
        <v>257141.293301</v>
      </c>
      <c r="H33" s="74">
        <v>217970.29368480001</v>
      </c>
      <c r="I33" s="74">
        <v>198905.4360128</v>
      </c>
      <c r="J33" s="74">
        <v>195393.5086881</v>
      </c>
      <c r="K33" s="74">
        <v>240434.2920051</v>
      </c>
      <c r="L33" s="74">
        <v>235782.53278129999</v>
      </c>
      <c r="M33" s="74">
        <v>225641.5197411</v>
      </c>
      <c r="N33" s="74">
        <v>149630.77304038999</v>
      </c>
      <c r="O33" s="74">
        <v>180292.48328310001</v>
      </c>
      <c r="P33" s="74">
        <v>170045.40939779999</v>
      </c>
      <c r="Q33" s="74">
        <v>155910.55686586999</v>
      </c>
      <c r="R33" s="74">
        <v>168058.05328280001</v>
      </c>
      <c r="S33" s="74">
        <v>159099.0200318</v>
      </c>
      <c r="T33" s="76">
        <v>177297.9</v>
      </c>
      <c r="U33" s="515">
        <v>148868.6</v>
      </c>
    </row>
    <row r="34" spans="2:23" ht="16">
      <c r="B34" s="188" t="s">
        <v>61</v>
      </c>
      <c r="C34" s="82"/>
      <c r="D34" s="83">
        <v>268296.54488549998</v>
      </c>
      <c r="E34" s="83">
        <v>283521.54470099998</v>
      </c>
      <c r="F34" s="83">
        <v>287216.431285</v>
      </c>
      <c r="G34" s="83">
        <v>328141.10189200001</v>
      </c>
      <c r="H34" s="75">
        <v>276824.35258900002</v>
      </c>
      <c r="I34" s="75">
        <v>302377.69334699999</v>
      </c>
      <c r="J34" s="75">
        <v>239768.96267209999</v>
      </c>
      <c r="K34" s="75">
        <v>326356.44977960002</v>
      </c>
      <c r="L34" s="75">
        <v>349187.38662439998</v>
      </c>
      <c r="M34" s="75">
        <v>258367.37809700001</v>
      </c>
      <c r="N34" s="75">
        <v>235004.91709</v>
      </c>
      <c r="O34" s="75">
        <v>247744.69002800001</v>
      </c>
      <c r="P34" s="75">
        <v>280786.10499399999</v>
      </c>
      <c r="Q34" s="75">
        <v>281329.74587687</v>
      </c>
      <c r="R34" s="75">
        <v>261545.36147450001</v>
      </c>
      <c r="S34" s="75">
        <v>258622.74317150001</v>
      </c>
      <c r="T34" s="76">
        <v>278682.7</v>
      </c>
      <c r="U34" s="515">
        <v>300241.90000000002</v>
      </c>
    </row>
    <row r="35" spans="2:23" ht="16">
      <c r="B35" s="188" t="s">
        <v>95</v>
      </c>
      <c r="C35" s="78">
        <v>55853.164644999997</v>
      </c>
      <c r="D35" s="78">
        <v>48245.640605000001</v>
      </c>
      <c r="E35" s="78">
        <v>47958.201624000001</v>
      </c>
      <c r="F35" s="78">
        <v>58915.712360899997</v>
      </c>
      <c r="G35" s="78">
        <v>65965.185425000003</v>
      </c>
      <c r="H35" s="74">
        <v>51631.363797600003</v>
      </c>
      <c r="I35" s="74">
        <v>52090.510848999998</v>
      </c>
      <c r="J35" s="74">
        <v>29705.530646300002</v>
      </c>
      <c r="K35" s="74">
        <v>31037.320553000001</v>
      </c>
      <c r="L35" s="74">
        <v>33456.569159500003</v>
      </c>
      <c r="M35" s="74">
        <v>24938.636512000001</v>
      </c>
      <c r="N35" s="74">
        <v>28790.71639582</v>
      </c>
      <c r="O35" s="74">
        <v>28253.825211150001</v>
      </c>
      <c r="P35" s="74">
        <v>35127.162188100003</v>
      </c>
      <c r="Q35" s="74">
        <v>39368.855699990003</v>
      </c>
      <c r="R35" s="74">
        <v>33375.960760000002</v>
      </c>
      <c r="S35" s="74">
        <v>31600.4177012</v>
      </c>
      <c r="T35" s="76">
        <v>27770.3</v>
      </c>
      <c r="U35" s="515">
        <v>24421.8</v>
      </c>
    </row>
    <row r="36" spans="2:23" ht="16">
      <c r="B36" s="188" t="s">
        <v>65</v>
      </c>
      <c r="C36" s="70" t="s">
        <v>98</v>
      </c>
      <c r="D36" s="70"/>
      <c r="E36" s="70"/>
      <c r="F36" s="70"/>
      <c r="G36" s="71"/>
      <c r="H36" s="74">
        <v>27080.182110000002</v>
      </c>
      <c r="I36" s="74">
        <v>29160.841189999999</v>
      </c>
      <c r="J36" s="74">
        <v>25397.165830000002</v>
      </c>
      <c r="K36" s="74">
        <v>36968.060660000003</v>
      </c>
      <c r="L36" s="74">
        <v>34050.406269999999</v>
      </c>
      <c r="M36" s="74">
        <v>31013.780739999998</v>
      </c>
      <c r="N36" s="74">
        <v>30931.094880000001</v>
      </c>
      <c r="O36" s="74">
        <v>31982.86809</v>
      </c>
      <c r="P36" s="74">
        <v>29628.227849999999</v>
      </c>
      <c r="Q36" s="74">
        <v>34026.544119999999</v>
      </c>
      <c r="R36" s="74">
        <v>37038.934889999997</v>
      </c>
      <c r="S36" s="74">
        <v>38355.724609999997</v>
      </c>
      <c r="T36" s="76">
        <v>57445.8</v>
      </c>
      <c r="U36" s="515">
        <v>45312.800000000003</v>
      </c>
    </row>
    <row r="37" spans="2:23" ht="16">
      <c r="B37" s="188" t="s">
        <v>5</v>
      </c>
      <c r="C37" s="78">
        <v>20859.633543</v>
      </c>
      <c r="D37" s="78">
        <v>17270.184745999999</v>
      </c>
      <c r="E37" s="78">
        <v>20010.838710399999</v>
      </c>
      <c r="F37" s="78">
        <v>18225.6523012</v>
      </c>
      <c r="G37" s="78">
        <v>19112.9597808</v>
      </c>
      <c r="H37" s="74">
        <v>16076.2510941</v>
      </c>
      <c r="I37" s="74">
        <v>19571.374135499998</v>
      </c>
      <c r="J37" s="74">
        <v>10317.127323250001</v>
      </c>
      <c r="K37" s="74">
        <v>17609.97019167</v>
      </c>
      <c r="L37" s="74">
        <v>22442.479309400002</v>
      </c>
      <c r="M37" s="74">
        <v>20833.086556400001</v>
      </c>
      <c r="N37" s="74">
        <v>17475.641645660002</v>
      </c>
      <c r="O37" s="74">
        <v>19485.899718799999</v>
      </c>
      <c r="P37" s="74">
        <v>21556.084556459999</v>
      </c>
      <c r="Q37" s="74">
        <v>24665.618976099999</v>
      </c>
      <c r="R37" s="74">
        <v>20721.608625100002</v>
      </c>
      <c r="S37" s="74">
        <v>18786.1983</v>
      </c>
      <c r="T37" s="76">
        <v>20944.599999999999</v>
      </c>
      <c r="U37" s="515">
        <v>16196.3</v>
      </c>
    </row>
    <row r="38" spans="2:23" ht="17" thickBot="1">
      <c r="B38" s="317" t="s">
        <v>48</v>
      </c>
      <c r="C38" s="89">
        <v>18129.440607500001</v>
      </c>
      <c r="D38" s="89">
        <v>13016.550653599999</v>
      </c>
      <c r="E38" s="89">
        <v>14956.3264762</v>
      </c>
      <c r="F38" s="89">
        <v>16973.324908099999</v>
      </c>
      <c r="G38" s="89">
        <v>17819.888159999999</v>
      </c>
      <c r="H38" s="90">
        <v>15577.230235700001</v>
      </c>
      <c r="I38" s="90">
        <v>16498.4945787</v>
      </c>
      <c r="J38" s="90">
        <v>12217.313026</v>
      </c>
      <c r="K38" s="90">
        <v>15419.2143003</v>
      </c>
      <c r="L38" s="90">
        <v>20036.891692099998</v>
      </c>
      <c r="M38" s="90">
        <v>16068.418091</v>
      </c>
      <c r="N38" s="90">
        <v>11330.455083000001</v>
      </c>
      <c r="O38" s="90">
        <v>11308.0606833</v>
      </c>
      <c r="P38" s="90">
        <v>12900.5501798</v>
      </c>
      <c r="Q38" s="90">
        <v>14665.36364</v>
      </c>
      <c r="R38" s="91">
        <v>12243.3</v>
      </c>
      <c r="S38" s="91">
        <v>11582.4</v>
      </c>
      <c r="T38" s="91">
        <v>12696</v>
      </c>
      <c r="U38" s="619">
        <f>AVERAGE(S38:T38)</f>
        <v>12139.2</v>
      </c>
    </row>
    <row r="39" spans="2:23" ht="16">
      <c r="B39" s="208" t="s">
        <v>154</v>
      </c>
      <c r="C39" s="247">
        <f t="shared" ref="C39:T39" si="1">SUM(C4:C38)</f>
        <v>1299596.7267053751</v>
      </c>
      <c r="D39" s="247">
        <f t="shared" si="1"/>
        <v>1307698.5782222999</v>
      </c>
      <c r="E39" s="247">
        <f t="shared" si="1"/>
        <v>1538452.7497950501</v>
      </c>
      <c r="F39" s="247">
        <f t="shared" si="1"/>
        <v>1806891.0267112898</v>
      </c>
      <c r="G39" s="247">
        <f t="shared" si="1"/>
        <v>1968013.1063711802</v>
      </c>
      <c r="H39" s="256">
        <f t="shared" si="1"/>
        <v>1772686.74332527</v>
      </c>
      <c r="I39" s="256">
        <f t="shared" si="1"/>
        <v>1804651.7506015701</v>
      </c>
      <c r="J39" s="256">
        <f t="shared" si="1"/>
        <v>1445427.0804169499</v>
      </c>
      <c r="K39" s="256">
        <f t="shared" si="1"/>
        <v>1710107.70808273</v>
      </c>
      <c r="L39" s="256">
        <f t="shared" si="1"/>
        <v>1914477.3425804502</v>
      </c>
      <c r="M39" s="256">
        <f t="shared" si="1"/>
        <v>1790873.3157587</v>
      </c>
      <c r="N39" s="256">
        <f t="shared" si="1"/>
        <v>1479681.9868160998</v>
      </c>
      <c r="O39" s="256">
        <f t="shared" si="1"/>
        <v>1622030.53368448</v>
      </c>
      <c r="P39" s="256">
        <f t="shared" si="1"/>
        <v>1797194.0244179496</v>
      </c>
      <c r="Q39" s="256">
        <f t="shared" si="1"/>
        <v>1791985.1558273202</v>
      </c>
      <c r="R39" s="256">
        <f t="shared" si="1"/>
        <v>1703524.7275415</v>
      </c>
      <c r="S39" s="256">
        <f t="shared" si="1"/>
        <v>1648047.4243979801</v>
      </c>
      <c r="T39" s="256">
        <f t="shared" si="1"/>
        <v>1959516</v>
      </c>
      <c r="U39" s="257">
        <f>SUM(U4:U38)</f>
        <v>1706295.7662900002</v>
      </c>
    </row>
    <row r="40" spans="2:23" ht="16">
      <c r="B40" s="209" t="s">
        <v>155</v>
      </c>
      <c r="C40" s="207" t="e">
        <f>C39/#REF!</f>
        <v>#REF!</v>
      </c>
      <c r="D40" s="207" t="e">
        <f>D39/#REF!</f>
        <v>#REF!</v>
      </c>
      <c r="E40" s="207" t="e">
        <f>E39/#REF!</f>
        <v>#REF!</v>
      </c>
      <c r="F40" s="207" t="e">
        <f>F39/#REF!</f>
        <v>#REF!</v>
      </c>
      <c r="G40" s="207" t="e">
        <f>G39/#REF!</f>
        <v>#REF!</v>
      </c>
      <c r="H40" s="258">
        <f>H39/'GHGI-Scope 1'!C6</f>
        <v>104.98588944775067</v>
      </c>
      <c r="I40" s="258">
        <f>I39/'GHGI-Scope 1'!D6</f>
        <v>105.23978018436961</v>
      </c>
      <c r="J40" s="258">
        <f>J39/'GHGI-Scope 1'!E6</f>
        <v>84.439016264572373</v>
      </c>
      <c r="K40" s="258">
        <f>K39/'GHGI-Scope 1'!F6</f>
        <v>98.907328402702717</v>
      </c>
      <c r="L40" s="258">
        <f>L39/'GHGI-Scope 1'!G6</f>
        <v>113.26257720998936</v>
      </c>
      <c r="M40" s="258">
        <f>M39/'GHGI-Scope 1'!H6</f>
        <v>103.42303740810233</v>
      </c>
      <c r="N40" s="258">
        <f>N39/'GHGI-Scope 1'!I6</f>
        <v>84.278748465916721</v>
      </c>
      <c r="O40" s="258">
        <f>O39/'GHGI-Scope 1'!J6</f>
        <v>90.651681310259875</v>
      </c>
      <c r="P40" s="258">
        <f>P39/'GHGI-Scope 1'!K6</f>
        <v>99.24862074320464</v>
      </c>
      <c r="Q40" s="258">
        <f>Q39/'GHGI-Scope 1'!L6</f>
        <v>98.525684837657806</v>
      </c>
      <c r="R40" s="258">
        <f>R39/'GHGI-Scope 1'!M6</f>
        <v>94.039455011951418</v>
      </c>
      <c r="S40" s="258">
        <f>S39/'GHGI-Scope 1'!N6</f>
        <v>92.685868308755417</v>
      </c>
      <c r="T40" s="258">
        <f>T39/'GHGI-Scope 1'!O6</f>
        <v>111.85090473200525</v>
      </c>
      <c r="U40" s="618">
        <f>U39/'GHGI-Scope 1'!P6</f>
        <v>98.091162189709692</v>
      </c>
    </row>
    <row r="41" spans="2:23" ht="16">
      <c r="B41" s="209" t="s">
        <v>156</v>
      </c>
      <c r="C41" s="207"/>
      <c r="D41" s="207"/>
      <c r="E41" s="207"/>
      <c r="F41" s="207"/>
      <c r="G41" s="207"/>
      <c r="H41" s="259">
        <f>H39/'GHGI-Scope 1'!C7</f>
        <v>0.50522996680661603</v>
      </c>
      <c r="I41" s="259">
        <f>I39/'GHGI-Scope 1'!D7</f>
        <v>0.51434025074481726</v>
      </c>
      <c r="J41" s="259">
        <f>J39/'GHGI-Scope 1'!E7</f>
        <v>0.41195833308403201</v>
      </c>
      <c r="K41" s="259">
        <f>K39/'GHGI-Scope 1'!F7</f>
        <v>0.48739443888978251</v>
      </c>
      <c r="L41" s="259">
        <f>L39/'GHGI-Scope 1'!G7</f>
        <v>0.5432859876472842</v>
      </c>
      <c r="M41" s="259">
        <f>M39/'GHGI-Scope 1'!H7</f>
        <v>0.50820992051633351</v>
      </c>
      <c r="N41" s="259">
        <f>N39/'GHGI-Scope 1'!I7</f>
        <v>0.41990075919506448</v>
      </c>
      <c r="O41" s="259">
        <f>O39/'GHGI-Scope 1'!J7</f>
        <v>0.4602961032168984</v>
      </c>
      <c r="P41" s="259">
        <f>P39/'GHGI-Scope 1'!K7</f>
        <v>0.50722041453749278</v>
      </c>
      <c r="Q41" s="259">
        <f>Q39/'GHGI-Scope 1'!L7</f>
        <v>0.50219562638558801</v>
      </c>
      <c r="R41" s="259">
        <f>R39/'GHGI-Scope 1'!M7</f>
        <v>0.47740499681543119</v>
      </c>
      <c r="S41" s="259">
        <f>S39/'GHGI-Scope 1'!N7</f>
        <v>0.46185773688878268</v>
      </c>
      <c r="T41" s="259">
        <f>T39/'GHGI-Scope 1'!O7</f>
        <v>0.54914537759006321</v>
      </c>
      <c r="U41" s="554">
        <f>U39/'GHGI-Scope 1'!P7</f>
        <v>0.47928040804523447</v>
      </c>
    </row>
    <row r="42" spans="2:23" ht="17" thickBot="1">
      <c r="B42" s="254" t="s">
        <v>103</v>
      </c>
      <c r="C42" s="255">
        <v>6845</v>
      </c>
      <c r="D42" s="255">
        <v>6191</v>
      </c>
      <c r="E42" s="255">
        <v>6530</v>
      </c>
      <c r="F42" s="255">
        <v>6571</v>
      </c>
      <c r="G42" s="255">
        <v>6868</v>
      </c>
      <c r="H42" s="260">
        <v>6254</v>
      </c>
      <c r="I42" s="260">
        <v>6861</v>
      </c>
      <c r="J42" s="260">
        <v>5466</v>
      </c>
      <c r="K42" s="260">
        <v>6532</v>
      </c>
      <c r="L42" s="260">
        <v>7487</v>
      </c>
      <c r="M42" s="260">
        <v>7136</v>
      </c>
      <c r="N42" s="260">
        <v>5814</v>
      </c>
      <c r="O42" s="260">
        <v>5832</v>
      </c>
      <c r="P42" s="260">
        <v>6701</v>
      </c>
      <c r="Q42" s="260">
        <v>6808</v>
      </c>
      <c r="R42" s="260">
        <v>6307</v>
      </c>
      <c r="S42" s="260">
        <v>6287</v>
      </c>
      <c r="T42" s="260">
        <v>6374</v>
      </c>
      <c r="U42" s="261">
        <v>6101</v>
      </c>
      <c r="W42" t="s">
        <v>135</v>
      </c>
    </row>
    <row r="43" spans="2:23">
      <c r="B43" s="19"/>
      <c r="C43" s="56"/>
      <c r="D43" s="56"/>
      <c r="E43" s="56"/>
      <c r="F43" s="56"/>
      <c r="G43" s="56"/>
      <c r="H43" s="56"/>
      <c r="I43" s="56"/>
      <c r="J43" s="56"/>
      <c r="K43" s="56"/>
      <c r="L43" s="56"/>
      <c r="M43" s="56"/>
      <c r="N43" s="56"/>
      <c r="O43" s="56"/>
      <c r="P43" s="56"/>
      <c r="Q43" s="56"/>
      <c r="R43" s="56"/>
      <c r="S43" s="56"/>
      <c r="T43" s="56"/>
    </row>
    <row r="44" spans="2:23">
      <c r="B44" s="19"/>
      <c r="C44" s="56"/>
      <c r="D44" s="56"/>
      <c r="E44" s="56"/>
      <c r="F44" s="56"/>
      <c r="G44" s="56"/>
      <c r="H44" s="56">
        <v>1770000</v>
      </c>
      <c r="I44" s="56"/>
      <c r="J44" s="56"/>
      <c r="K44" s="56"/>
      <c r="L44" s="56"/>
      <c r="M44" s="56"/>
      <c r="N44" s="56"/>
      <c r="O44" s="56"/>
      <c r="P44" s="56"/>
      <c r="Q44" s="56"/>
      <c r="R44" s="56"/>
      <c r="S44" s="56"/>
      <c r="T44" s="56"/>
    </row>
    <row r="45" spans="2:23">
      <c r="C45" s="280"/>
      <c r="D45" s="280"/>
      <c r="E45" s="280"/>
      <c r="F45" s="280"/>
      <c r="G45" s="280"/>
      <c r="H45" s="60">
        <v>16000</v>
      </c>
      <c r="I45" s="280"/>
      <c r="J45" s="280"/>
      <c r="K45" s="280"/>
      <c r="L45" s="280"/>
      <c r="M45" s="280"/>
      <c r="N45" s="280"/>
      <c r="O45" s="280"/>
      <c r="P45" s="280"/>
      <c r="Q45" s="280"/>
      <c r="R45" s="280"/>
      <c r="S45" s="280"/>
      <c r="T45" s="280"/>
    </row>
    <row r="46" spans="2:23">
      <c r="B46" s="19"/>
      <c r="C46" s="281"/>
      <c r="D46" s="281"/>
      <c r="E46" s="281"/>
      <c r="F46" s="281"/>
      <c r="G46" s="281"/>
      <c r="H46" s="281"/>
      <c r="I46" s="281"/>
      <c r="J46" s="281"/>
      <c r="K46" s="281"/>
      <c r="L46" s="281"/>
      <c r="M46" s="281"/>
      <c r="N46" s="281"/>
      <c r="O46" s="281"/>
      <c r="P46" s="281"/>
      <c r="Q46" s="281"/>
      <c r="R46" s="281"/>
      <c r="S46" s="281"/>
      <c r="T46" s="281"/>
    </row>
    <row r="47" spans="2:23">
      <c r="B47" s="19"/>
      <c r="C47" s="281"/>
      <c r="D47" s="281"/>
      <c r="E47" s="281"/>
      <c r="F47" s="281"/>
      <c r="G47" s="281"/>
      <c r="H47" s="281"/>
      <c r="I47" s="281">
        <f>H44/H45</f>
        <v>110.625</v>
      </c>
      <c r="J47" s="281"/>
      <c r="K47" s="281"/>
      <c r="L47" s="281"/>
      <c r="M47" s="281"/>
      <c r="N47" s="281"/>
      <c r="O47" s="281"/>
      <c r="P47" s="281"/>
      <c r="Q47" s="281"/>
      <c r="R47" s="281"/>
      <c r="S47" s="281"/>
      <c r="T47" s="281"/>
    </row>
    <row r="48" spans="2:23">
      <c r="B48" s="19"/>
      <c r="C48" s="30"/>
      <c r="D48" s="30"/>
      <c r="E48" s="30"/>
      <c r="F48" s="30"/>
      <c r="G48" s="30"/>
      <c r="H48" s="30"/>
      <c r="I48" s="30"/>
      <c r="J48" s="30"/>
      <c r="K48" s="30"/>
      <c r="L48" s="30"/>
      <c r="M48" s="30"/>
      <c r="N48" s="30"/>
      <c r="O48" s="30"/>
      <c r="P48" s="30"/>
      <c r="Q48" s="30"/>
      <c r="R48" s="30"/>
      <c r="S48" s="30"/>
      <c r="T48" s="30"/>
    </row>
    <row r="49" spans="2:20">
      <c r="B49" s="19"/>
      <c r="C49" s="282"/>
      <c r="D49" s="282"/>
      <c r="E49" s="282"/>
      <c r="F49" s="282"/>
      <c r="G49" s="282"/>
      <c r="H49" s="282"/>
      <c r="I49" s="282"/>
      <c r="J49" s="282"/>
      <c r="K49" s="282"/>
      <c r="L49" s="282"/>
      <c r="M49" s="282"/>
      <c r="N49" s="282"/>
      <c r="O49" s="282"/>
      <c r="P49" s="282"/>
      <c r="Q49" s="282"/>
      <c r="R49" s="282"/>
      <c r="S49" s="282"/>
      <c r="T49" s="282"/>
    </row>
    <row r="54" spans="2:20">
      <c r="H54" s="281"/>
      <c r="I54" s="281"/>
      <c r="J54" s="281"/>
      <c r="K54" s="281"/>
      <c r="L54" s="281"/>
      <c r="M54" s="281"/>
      <c r="N54" s="281"/>
      <c r="O54" s="281"/>
      <c r="P54" s="281"/>
      <c r="Q54" s="281"/>
      <c r="R54" s="281"/>
      <c r="S54" s="281"/>
      <c r="T54" s="281"/>
    </row>
  </sheetData>
  <mergeCells count="2">
    <mergeCell ref="H26:J26"/>
    <mergeCell ref="B2:I2"/>
  </mergeCells>
  <conditionalFormatting sqref="H39:R39">
    <cfRule type="colorScale" priority="13">
      <colorScale>
        <cfvo type="min"/>
        <cfvo type="percentile" val="50"/>
        <cfvo type="max"/>
        <color rgb="FF63BE7B"/>
        <color rgb="FFFFEB84"/>
        <color rgb="FFF8696B"/>
      </colorScale>
    </cfRule>
  </conditionalFormatting>
  <conditionalFormatting sqref="H49:R49">
    <cfRule type="colorScale" priority="11">
      <colorScale>
        <cfvo type="min"/>
        <cfvo type="percentile" val="50"/>
        <cfvo type="max"/>
        <color rgb="FF63BE7B"/>
        <color rgb="FFFFEB84"/>
        <color rgb="FFF8696B"/>
      </colorScale>
    </cfRule>
  </conditionalFormatting>
  <conditionalFormatting sqref="H46:R46">
    <cfRule type="colorScale" priority="10">
      <colorScale>
        <cfvo type="min"/>
        <cfvo type="percentile" val="50"/>
        <cfvo type="max"/>
        <color rgb="FF63BE7B"/>
        <color rgb="FFFFEB84"/>
        <color rgb="FFF8696B"/>
      </colorScale>
    </cfRule>
  </conditionalFormatting>
  <conditionalFormatting sqref="H39:T39">
    <cfRule type="colorScale" priority="8">
      <colorScale>
        <cfvo type="min"/>
        <cfvo type="percentile" val="50"/>
        <cfvo type="max"/>
        <color rgb="FF63BE7B"/>
        <color rgb="FFFFEB84"/>
        <color rgb="FFF8696B"/>
      </colorScale>
    </cfRule>
  </conditionalFormatting>
  <conditionalFormatting sqref="S49:T49">
    <cfRule type="colorScale" priority="7">
      <colorScale>
        <cfvo type="min"/>
        <cfvo type="percentile" val="50"/>
        <cfvo type="max"/>
        <color rgb="FF63BE7B"/>
        <color rgb="FFFFEB84"/>
        <color rgb="FFF8696B"/>
      </colorScale>
    </cfRule>
  </conditionalFormatting>
  <conditionalFormatting sqref="H49:T49">
    <cfRule type="colorScale" priority="6">
      <colorScale>
        <cfvo type="min"/>
        <cfvo type="percentile" val="50"/>
        <cfvo type="max"/>
        <color rgb="FF63BE7B"/>
        <color rgb="FFFFEB84"/>
        <color rgb="FFF8696B"/>
      </colorScale>
    </cfRule>
  </conditionalFormatting>
  <conditionalFormatting sqref="H46:T46">
    <cfRule type="colorScale" priority="5">
      <colorScale>
        <cfvo type="min"/>
        <cfvo type="percentile" val="50"/>
        <cfvo type="max"/>
        <color rgb="FF63BE7B"/>
        <color rgb="FFFFEB84"/>
        <color rgb="FFF8696B"/>
      </colorScale>
    </cfRule>
  </conditionalFormatting>
  <conditionalFormatting sqref="U39">
    <cfRule type="colorScale" priority="1">
      <colorScale>
        <cfvo type="min"/>
        <cfvo type="percentile" val="50"/>
        <cfvo type="max"/>
        <color rgb="FF63BE7B"/>
        <color rgb="FFFFEB84"/>
        <color rgb="FFF8696B"/>
      </colorScale>
    </cfRule>
  </conditionalFormatting>
  <conditionalFormatting sqref="H42:T44 U42">
    <cfRule type="colorScale" priority="230">
      <colorScale>
        <cfvo type="min"/>
        <cfvo type="percentile" val="50"/>
        <cfvo type="max"/>
        <color rgb="FF63BE7B"/>
        <color rgb="FFFFEB84"/>
        <color rgb="FFF8696B"/>
      </colorScale>
    </cfRule>
  </conditionalFormatting>
  <conditionalFormatting sqref="H40:U41">
    <cfRule type="colorScale" priority="232">
      <colorScale>
        <cfvo type="min"/>
        <cfvo type="percentile" val="50"/>
        <cfvo type="max"/>
        <color rgb="FF63BE7B"/>
        <color rgb="FFFFEB84"/>
        <color rgb="FFF8696B"/>
      </colorScale>
    </cfRule>
  </conditionalFormatting>
  <conditionalFormatting sqref="H41:U41">
    <cfRule type="colorScale" priority="234">
      <colorScale>
        <cfvo type="min"/>
        <cfvo type="percentile" val="50"/>
        <cfvo type="max"/>
        <color rgb="FF63BE7B"/>
        <color rgb="FFFFEB84"/>
        <color rgb="FFF8696B"/>
      </colorScale>
    </cfRule>
  </conditionalFormatting>
  <pageMargins left="0.7" right="0.7" top="0.75" bottom="0.75" header="0.3" footer="0.3"/>
  <pageSetup scale="48" orientation="landscape"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3611-F527-4248-A6FB-6969159574A9}">
  <sheetPr>
    <pageSetUpPr fitToPage="1"/>
  </sheetPr>
  <dimension ref="B1:V51"/>
  <sheetViews>
    <sheetView zoomScale="85" zoomScaleNormal="85" workbookViewId="0">
      <selection activeCell="AI3" sqref="AI3"/>
    </sheetView>
  </sheetViews>
  <sheetFormatPr baseColWidth="10" defaultColWidth="8.6640625" defaultRowHeight="15"/>
  <cols>
    <col min="1" max="1" width="4.6640625" customWidth="1"/>
    <col min="2" max="2" width="40.5" customWidth="1"/>
    <col min="3" max="7" width="13.33203125" hidden="1" customWidth="1"/>
    <col min="8" max="13" width="13.33203125" customWidth="1"/>
    <col min="14" max="18" width="14.6640625" customWidth="1"/>
    <col min="19" max="19" width="14.6640625" bestFit="1" customWidth="1"/>
    <col min="20" max="21" width="14.6640625" customWidth="1"/>
    <col min="23" max="33" width="0" hidden="1" customWidth="1"/>
  </cols>
  <sheetData>
    <row r="1" spans="2:21" ht="16" thickBot="1"/>
    <row r="2" spans="2:21" ht="48" customHeight="1" thickBot="1">
      <c r="B2" s="679" t="s">
        <v>252</v>
      </c>
      <c r="C2" s="680"/>
      <c r="D2" s="680"/>
      <c r="E2" s="680"/>
      <c r="F2" s="680"/>
      <c r="G2" s="680"/>
      <c r="H2" s="680"/>
      <c r="I2" s="681"/>
      <c r="J2" s="290"/>
      <c r="K2" s="194"/>
      <c r="L2" s="194"/>
      <c r="M2" s="194"/>
      <c r="N2" s="194"/>
      <c r="O2" s="194"/>
      <c r="P2" s="194"/>
      <c r="Q2" s="194"/>
      <c r="R2" s="194"/>
      <c r="S2" s="252" t="s">
        <v>264</v>
      </c>
      <c r="T2" s="252" t="s">
        <v>162</v>
      </c>
      <c r="U2" s="253"/>
    </row>
    <row r="3" spans="2:21" ht="22" thickBot="1">
      <c r="B3" s="291" t="s">
        <v>90</v>
      </c>
      <c r="C3" s="292">
        <v>2005</v>
      </c>
      <c r="D3" s="292">
        <f>C3+1</f>
        <v>2006</v>
      </c>
      <c r="E3" s="292">
        <f t="shared" ref="E3:T3" si="0">D3+1</f>
        <v>2007</v>
      </c>
      <c r="F3" s="292">
        <f t="shared" si="0"/>
        <v>2008</v>
      </c>
      <c r="G3" s="292">
        <f t="shared" si="0"/>
        <v>2009</v>
      </c>
      <c r="H3" s="292">
        <f t="shared" si="0"/>
        <v>2010</v>
      </c>
      <c r="I3" s="292">
        <f t="shared" si="0"/>
        <v>2011</v>
      </c>
      <c r="J3" s="292">
        <f t="shared" si="0"/>
        <v>2012</v>
      </c>
      <c r="K3" s="292">
        <f t="shared" si="0"/>
        <v>2013</v>
      </c>
      <c r="L3" s="292">
        <f t="shared" si="0"/>
        <v>2014</v>
      </c>
      <c r="M3" s="292">
        <f t="shared" si="0"/>
        <v>2015</v>
      </c>
      <c r="N3" s="292">
        <f t="shared" si="0"/>
        <v>2016</v>
      </c>
      <c r="O3" s="292">
        <f t="shared" si="0"/>
        <v>2017</v>
      </c>
      <c r="P3" s="292">
        <f t="shared" si="0"/>
        <v>2018</v>
      </c>
      <c r="Q3" s="292">
        <f t="shared" si="0"/>
        <v>2019</v>
      </c>
      <c r="R3" s="292">
        <f t="shared" si="0"/>
        <v>2020</v>
      </c>
      <c r="S3" s="292">
        <f t="shared" si="0"/>
        <v>2021</v>
      </c>
      <c r="T3" s="292">
        <f t="shared" si="0"/>
        <v>2022</v>
      </c>
      <c r="U3" s="293">
        <v>2023</v>
      </c>
    </row>
    <row r="4" spans="2:21" ht="16">
      <c r="B4" s="313" t="s">
        <v>1</v>
      </c>
      <c r="C4" s="314" t="s">
        <v>99</v>
      </c>
      <c r="D4" s="314"/>
      <c r="E4" s="318">
        <v>22202</v>
      </c>
      <c r="F4" s="318">
        <v>22202</v>
      </c>
      <c r="G4" s="318">
        <v>22202</v>
      </c>
      <c r="H4" s="319">
        <f>'Nat Gas'!H4/Enrollment!H4</f>
        <v>49.892134831460673</v>
      </c>
      <c r="I4" s="319">
        <f>'Nat Gas'!I4/Enrollment!I4</f>
        <v>37.25167785234899</v>
      </c>
      <c r="J4" s="319">
        <f>'Nat Gas'!J4/Enrollment!J4</f>
        <v>46.158004158004161</v>
      </c>
      <c r="K4" s="319">
        <f>'Nat Gas'!K4/Enrollment!K4</f>
        <v>33.844512195121951</v>
      </c>
      <c r="L4" s="319">
        <f>'Nat Gas'!L4/Enrollment!L4</f>
        <v>49.011037527593821</v>
      </c>
      <c r="M4" s="319">
        <f>'Nat Gas'!M4/Enrollment!M4</f>
        <v>43.110679611650482</v>
      </c>
      <c r="N4" s="319">
        <f>'Nat Gas'!N4/Enrollment!N4</f>
        <v>35.935146535637152</v>
      </c>
      <c r="O4" s="319">
        <f>'Nat Gas'!O4/Enrollment!O4</f>
        <v>45.344453216704288</v>
      </c>
      <c r="P4" s="319">
        <f>'Nat Gas'!P4/Enrollment!P4</f>
        <v>56.511694271662762</v>
      </c>
      <c r="Q4" s="319">
        <f>'Nat Gas'!Q4/Enrollment!Q4</f>
        <v>51.63352310955711</v>
      </c>
      <c r="R4" s="319">
        <f>'Nat Gas'!R4/Enrollment!R4</f>
        <v>56.030443796526058</v>
      </c>
      <c r="S4" s="319">
        <f>'Nat Gas'!S4/Enrollment!S4</f>
        <v>58.829995834666661</v>
      </c>
      <c r="T4" s="319">
        <f>'Nat Gas'!T4/Enrollment!T4</f>
        <v>57.755955056179779</v>
      </c>
      <c r="U4" s="413">
        <f>'Nat Gas'!U4/Enrollment!U4</f>
        <v>51.476525821596248</v>
      </c>
    </row>
    <row r="5" spans="2:21" ht="17" thickBot="1">
      <c r="B5" s="188" t="s">
        <v>265</v>
      </c>
      <c r="C5" s="78">
        <v>29392.907316000001</v>
      </c>
      <c r="D5" s="78">
        <v>25245.4692899</v>
      </c>
      <c r="E5" s="78">
        <v>23567.7629867</v>
      </c>
      <c r="F5" s="78">
        <v>24301.17438909</v>
      </c>
      <c r="G5" s="78">
        <v>24710.197203</v>
      </c>
      <c r="H5" s="74">
        <f>'Nat Gas'!H5/Enrollment!H5</f>
        <v>73.554521803703707</v>
      </c>
      <c r="I5" s="74">
        <f>'Nat Gas'!I5/Enrollment!I5</f>
        <v>73.13372492429022</v>
      </c>
      <c r="J5" s="74">
        <f>'Nat Gas'!J5/Enrollment!J5</f>
        <v>52.740823692929297</v>
      </c>
      <c r="K5" s="74">
        <f>'Nat Gas'!K5/Enrollment!K5</f>
        <v>62.192451898918918</v>
      </c>
      <c r="L5" s="74">
        <f>'Nat Gas'!L5/Enrollment!L5</f>
        <v>87.535936810725559</v>
      </c>
      <c r="M5" s="74">
        <f>'Nat Gas'!M5/Enrollment!M5</f>
        <v>77.279001005980064</v>
      </c>
      <c r="N5" s="74">
        <f>'Nat Gas'!N5/Enrollment!N5</f>
        <v>76.044366996245728</v>
      </c>
      <c r="O5" s="74">
        <f>'Nat Gas'!O5/Enrollment!O5</f>
        <v>76.765742520000003</v>
      </c>
      <c r="P5" s="74">
        <f>'Nat Gas'!P5/Enrollment!P5</f>
        <v>73.528640763578281</v>
      </c>
      <c r="Q5" s="74">
        <f>'Nat Gas'!Q5/Enrollment!Q5</f>
        <v>87.53620384053157</v>
      </c>
      <c r="R5" s="74">
        <f>'Nat Gas'!R5/Enrollment!R5</f>
        <v>74.316419006779654</v>
      </c>
      <c r="S5" s="74">
        <f>'Nat Gas'!S5/Enrollment!S5</f>
        <v>75.632123684027775</v>
      </c>
      <c r="T5" s="74">
        <f>'Nat Gas'!T5/Enrollment!T5</f>
        <v>79.83250773993808</v>
      </c>
      <c r="U5" s="96">
        <f>'Nat Gas'!U5/Enrollment!U5</f>
        <v>62.721700879765393</v>
      </c>
    </row>
    <row r="6" spans="2:21" ht="16">
      <c r="B6" s="188" t="s">
        <v>7</v>
      </c>
      <c r="C6" s="78">
        <v>26958.707091</v>
      </c>
      <c r="D6" s="78">
        <v>22368.64675</v>
      </c>
      <c r="E6" s="78">
        <v>35981.860355999997</v>
      </c>
      <c r="F6" s="78">
        <v>31147.881701999999</v>
      </c>
      <c r="G6" s="78">
        <v>32013.69788</v>
      </c>
      <c r="H6" s="319">
        <f>'Nat Gas'!H6/Enrollment!H6</f>
        <v>69.896875213541662</v>
      </c>
      <c r="I6" s="319">
        <f>'Nat Gas'!I6/Enrollment!I6</f>
        <v>78.817735609819124</v>
      </c>
      <c r="J6" s="319">
        <f>'Nat Gas'!J6/Enrollment!J6</f>
        <v>61.270447118863054</v>
      </c>
      <c r="K6" s="319">
        <f>'Nat Gas'!K6/Enrollment!K6</f>
        <v>74.161891265251995</v>
      </c>
      <c r="L6" s="319">
        <f>'Nat Gas'!L6/Enrollment!L6</f>
        <v>94.099359343243236</v>
      </c>
      <c r="M6" s="319">
        <f>'Nat Gas'!M6/Enrollment!M6</f>
        <v>73.148723946015423</v>
      </c>
      <c r="N6" s="319">
        <f>'Nat Gas'!N6/Enrollment!N6</f>
        <v>69.523575079896915</v>
      </c>
      <c r="O6" s="319">
        <f>'Nat Gas'!O6/Enrollment!O6</f>
        <v>76.985216565671635</v>
      </c>
      <c r="P6" s="319">
        <f>'Nat Gas'!P6/Enrollment!P6</f>
        <v>98.342364692893398</v>
      </c>
      <c r="Q6" s="319">
        <f>'Nat Gas'!Q6/Enrollment!Q6</f>
        <v>99.285436254589357</v>
      </c>
      <c r="R6" s="319">
        <f>'Nat Gas'!R6/Enrollment!R6</f>
        <v>81.135605154377885</v>
      </c>
      <c r="S6" s="319">
        <f>'Nat Gas'!S6/Enrollment!S6</f>
        <v>76.448034176470586</v>
      </c>
      <c r="T6" s="319">
        <f>'Nat Gas'!T6/Enrollment!T6</f>
        <v>118.84408602150538</v>
      </c>
      <c r="U6" s="413">
        <f>'Nat Gas'!U6/Enrollment!U6</f>
        <v>80.28353808353809</v>
      </c>
    </row>
    <row r="7" spans="2:21" ht="17" thickBot="1">
      <c r="B7" s="188" t="s">
        <v>9</v>
      </c>
      <c r="C7" s="78">
        <v>41260.515135000001</v>
      </c>
      <c r="D7" s="78">
        <v>25824.792118000001</v>
      </c>
      <c r="E7" s="78">
        <v>30528.459105950002</v>
      </c>
      <c r="F7" s="78">
        <v>33688.39256</v>
      </c>
      <c r="G7" s="78">
        <v>32236.799940000001</v>
      </c>
      <c r="H7" s="74">
        <f>'Nat Gas'!H7/Enrollment!H7</f>
        <v>103.60545500970875</v>
      </c>
      <c r="I7" s="74">
        <f>'Nat Gas'!I7/Enrollment!I7</f>
        <v>119.64087271380471</v>
      </c>
      <c r="J7" s="74">
        <f>'Nat Gas'!J7/Enrollment!J7</f>
        <v>100.40956920415225</v>
      </c>
      <c r="K7" s="74">
        <f>'Nat Gas'!K7/Enrollment!K7</f>
        <v>116.34476118877551</v>
      </c>
      <c r="L7" s="74">
        <f>'Nat Gas'!L7/Enrollment!L7</f>
        <v>114.08742429480969</v>
      </c>
      <c r="M7" s="74">
        <f>'Nat Gas'!M7/Enrollment!M7</f>
        <v>104.51077015337424</v>
      </c>
      <c r="N7" s="74">
        <f>'Nat Gas'!N7/Enrollment!N7</f>
        <v>65.912277676384832</v>
      </c>
      <c r="O7" s="74">
        <f>'Nat Gas'!O7/Enrollment!O7</f>
        <v>76.543874808928578</v>
      </c>
      <c r="P7" s="74">
        <f>'Nat Gas'!P7/Enrollment!P7</f>
        <v>78.143957488095239</v>
      </c>
      <c r="Q7" s="74">
        <f>'Nat Gas'!Q7/Enrollment!Q7</f>
        <v>85.304145868945866</v>
      </c>
      <c r="R7" s="74">
        <f>'Nat Gas'!R7/Enrollment!R7</f>
        <v>85.620702689075628</v>
      </c>
      <c r="S7" s="74">
        <f>'Nat Gas'!S7/Enrollment!S7</f>
        <v>77.889467921686744</v>
      </c>
      <c r="T7" s="74">
        <f>'Nat Gas'!T7/Enrollment!T7</f>
        <v>167.24508474576271</v>
      </c>
      <c r="U7" s="96">
        <f>'Nat Gas'!U7/Enrollment!U7</f>
        <v>117.12448979591836</v>
      </c>
    </row>
    <row r="8" spans="2:21" ht="16">
      <c r="B8" s="188" t="s">
        <v>11</v>
      </c>
      <c r="C8" s="78">
        <v>55185.231740000003</v>
      </c>
      <c r="D8" s="78">
        <v>41791.779736700002</v>
      </c>
      <c r="E8" s="78">
        <v>46352.603891010003</v>
      </c>
      <c r="F8" s="78">
        <v>40636.004618500003</v>
      </c>
      <c r="G8" s="78">
        <v>31124.459655999999</v>
      </c>
      <c r="H8" s="319">
        <f>'Nat Gas'!H8/Enrollment!H8</f>
        <v>105.73371707514451</v>
      </c>
      <c r="I8" s="319">
        <f>'Nat Gas'!I8/Enrollment!I8</f>
        <v>78.12902321502591</v>
      </c>
      <c r="J8" s="319">
        <f>'Nat Gas'!J8/Enrollment!J8</f>
        <v>57.932745132307694</v>
      </c>
      <c r="K8" s="319">
        <f>'Nat Gas'!K8/Enrollment!K8</f>
        <v>57.808007364066491</v>
      </c>
      <c r="L8" s="319">
        <f>'Nat Gas'!L8/Enrollment!L8</f>
        <v>78.193998254366193</v>
      </c>
      <c r="M8" s="319">
        <f>'Nat Gas'!M8/Enrollment!M8</f>
        <v>85.552071297222227</v>
      </c>
      <c r="N8" s="319">
        <f>'Nat Gas'!N8/Enrollment!N8</f>
        <v>62.953956301671312</v>
      </c>
      <c r="O8" s="319">
        <f>'Nat Gas'!O8/Enrollment!O8</f>
        <v>53.888533193905815</v>
      </c>
      <c r="P8" s="319">
        <f>'Nat Gas'!P8/Enrollment!P8</f>
        <v>67.415416113821138</v>
      </c>
      <c r="Q8" s="319">
        <f>'Nat Gas'!Q8/Enrollment!Q8</f>
        <v>72.651087147229546</v>
      </c>
      <c r="R8" s="319">
        <f>'Nat Gas'!R8/Enrollment!R8</f>
        <v>58.67264620660147</v>
      </c>
      <c r="S8" s="319">
        <f>'Nat Gas'!S8/Enrollment!S8</f>
        <v>69.197375643835613</v>
      </c>
      <c r="T8" s="319">
        <f>'Nat Gas'!T8/Enrollment!T8</f>
        <v>93.050146627565979</v>
      </c>
      <c r="U8" s="413">
        <f>'Nat Gas'!U8/Enrollment!U8</f>
        <v>77.041791044776119</v>
      </c>
    </row>
    <row r="9" spans="2:21" ht="17" thickBot="1">
      <c r="B9" s="188" t="s">
        <v>13</v>
      </c>
      <c r="C9" s="78">
        <v>15868.224007999999</v>
      </c>
      <c r="D9" s="78">
        <v>10499.5081001</v>
      </c>
      <c r="E9" s="78">
        <v>14652.888534600001</v>
      </c>
      <c r="F9" s="78">
        <v>16552.620056100001</v>
      </c>
      <c r="G9" s="78">
        <v>14111.571695000001</v>
      </c>
      <c r="H9" s="74">
        <f>'Nat Gas'!H9/Enrollment!H9</f>
        <v>40.961840352380953</v>
      </c>
      <c r="I9" s="74">
        <f>'Nat Gas'!I9/Enrollment!I9</f>
        <v>33.681169983739835</v>
      </c>
      <c r="J9" s="74">
        <f>'Nat Gas'!J9/Enrollment!J9</f>
        <v>24.756243997619052</v>
      </c>
      <c r="K9" s="74">
        <f>'Nat Gas'!K9/Enrollment!K9</f>
        <v>33.603573599431819</v>
      </c>
      <c r="L9" s="74">
        <f>'Nat Gas'!L9/Enrollment!L9</f>
        <v>46.39391692682927</v>
      </c>
      <c r="M9" s="74">
        <f>'Nat Gas'!M9/Enrollment!M9</f>
        <v>42.347860893890676</v>
      </c>
      <c r="N9" s="74">
        <f>'Nat Gas'!N9/Enrollment!N9</f>
        <v>31.220071417218545</v>
      </c>
      <c r="O9" s="74">
        <f>'Nat Gas'!O9/Enrollment!O9</f>
        <v>51.566487813504821</v>
      </c>
      <c r="P9" s="74">
        <f>'Nat Gas'!P9/Enrollment!P9</f>
        <v>55.558162411764698</v>
      </c>
      <c r="Q9" s="74">
        <f>'Nat Gas'!Q9/Enrollment!Q9</f>
        <v>61.791929301694914</v>
      </c>
      <c r="R9" s="74">
        <f>'Nat Gas'!R9/Enrollment!R9</f>
        <v>62.321676305555556</v>
      </c>
      <c r="S9" s="74">
        <f>'Nat Gas'!S9/Enrollment!S9</f>
        <v>61.858588179389308</v>
      </c>
      <c r="T9" s="74">
        <f>'Nat Gas'!T9/Enrollment!T9</f>
        <v>75.433333333333323</v>
      </c>
      <c r="U9" s="96">
        <f>'Nat Gas'!U9/Enrollment!U9</f>
        <v>57.662008733624454</v>
      </c>
    </row>
    <row r="10" spans="2:21" ht="16">
      <c r="B10" s="188" t="s">
        <v>15</v>
      </c>
      <c r="C10" s="73">
        <v>15868.224007999999</v>
      </c>
      <c r="D10" s="78">
        <v>10499.5081001</v>
      </c>
      <c r="E10" s="78">
        <v>14652.888534600001</v>
      </c>
      <c r="F10" s="78">
        <v>16552.620056100001</v>
      </c>
      <c r="G10" s="78">
        <v>14111.571695000001</v>
      </c>
      <c r="H10" s="319">
        <f>'Nat Gas'!H10/Enrollment!H10</f>
        <v>30.503498134751773</v>
      </c>
      <c r="I10" s="319">
        <f>'Nat Gas'!I10/Enrollment!I10</f>
        <v>29.038204962616824</v>
      </c>
      <c r="J10" s="319">
        <f>'Nat Gas'!J10/Enrollment!J10</f>
        <v>22.38722543325359</v>
      </c>
      <c r="K10" s="319">
        <f>'Nat Gas'!K10/Enrollment!K10</f>
        <v>28.640333915254239</v>
      </c>
      <c r="L10" s="319">
        <f>'Nat Gas'!L10/Enrollment!L10</f>
        <v>36.756533217391301</v>
      </c>
      <c r="M10" s="319">
        <f>'Nat Gas'!M10/Enrollment!M10</f>
        <v>77.879555696428582</v>
      </c>
      <c r="N10" s="319">
        <f>'Nat Gas'!N10/Enrollment!N10</f>
        <v>86.337896455319139</v>
      </c>
      <c r="O10" s="319">
        <f>'Nat Gas'!O10/Enrollment!O10</f>
        <v>65.627094957264958</v>
      </c>
      <c r="P10" s="319">
        <f>'Nat Gas'!P10/Enrollment!P10</f>
        <v>69.473265410748567</v>
      </c>
      <c r="Q10" s="319">
        <f>'Nat Gas'!Q10/Enrollment!Q10</f>
        <v>67.741925801869158</v>
      </c>
      <c r="R10" s="319">
        <f>'Nat Gas'!R10/Enrollment!R10</f>
        <v>61.616383095703128</v>
      </c>
      <c r="S10" s="319">
        <f>'Nat Gas'!S10/Enrollment!S10</f>
        <v>71.827532581196579</v>
      </c>
      <c r="T10" s="319">
        <f>'Nat Gas'!T10/Enrollment!T10</f>
        <v>79.089237668161445</v>
      </c>
      <c r="U10" s="413">
        <f>'Nat Gas'!U10/Enrollment!U10</f>
        <v>68.101006036217299</v>
      </c>
    </row>
    <row r="11" spans="2:21" ht="17" thickBot="1">
      <c r="B11" s="188" t="s">
        <v>17</v>
      </c>
      <c r="C11" s="78">
        <v>36376.348841999999</v>
      </c>
      <c r="D11" s="78">
        <v>29910.133901000001</v>
      </c>
      <c r="E11" s="78">
        <v>29510.600627299998</v>
      </c>
      <c r="F11" s="78">
        <v>31753.572598899998</v>
      </c>
      <c r="G11" s="78">
        <v>30727.161136999999</v>
      </c>
      <c r="H11" s="74">
        <f>'Nat Gas'!H11/Enrollment!H11</f>
        <v>91.719499495495498</v>
      </c>
      <c r="I11" s="74">
        <f>'Nat Gas'!I11/Enrollment!I11</f>
        <v>76.723109146005513</v>
      </c>
      <c r="J11" s="74">
        <f>'Nat Gas'!J11/Enrollment!J11</f>
        <v>56.910463020100501</v>
      </c>
      <c r="K11" s="74">
        <f>'Nat Gas'!K11/Enrollment!K11</f>
        <v>72.267559209844563</v>
      </c>
      <c r="L11" s="74">
        <f>'Nat Gas'!L11/Enrollment!L11</f>
        <v>85.535788617721522</v>
      </c>
      <c r="M11" s="74">
        <f>'Nat Gas'!M11/Enrollment!M11</f>
        <v>69.689353134517773</v>
      </c>
      <c r="N11" s="74">
        <f>'Nat Gas'!N11/Enrollment!N11</f>
        <v>57.775144231503582</v>
      </c>
      <c r="O11" s="74">
        <f>'Nat Gas'!O11/Enrollment!O11</f>
        <v>65.238467410138256</v>
      </c>
      <c r="P11" s="74">
        <f>'Nat Gas'!P11/Enrollment!P11</f>
        <v>71.674192964238088</v>
      </c>
      <c r="Q11" s="74">
        <f>'Nat Gas'!Q11/Enrollment!Q11</f>
        <v>73.840441043678155</v>
      </c>
      <c r="R11" s="74">
        <f>'Nat Gas'!R11/Enrollment!R11</f>
        <v>61.525279146496814</v>
      </c>
      <c r="S11" s="74">
        <f>'Nat Gas'!S11/Enrollment!S11</f>
        <v>63.980248911015799</v>
      </c>
      <c r="T11" s="74">
        <f>'Nat Gas'!T11/Enrollment!T11</f>
        <v>62.92520833333333</v>
      </c>
      <c r="U11" s="96">
        <f>'Nat Gas'!U11/Enrollment!U11</f>
        <v>66.39071925754061</v>
      </c>
    </row>
    <row r="12" spans="2:21" ht="16">
      <c r="B12" s="188" t="s">
        <v>19</v>
      </c>
      <c r="C12" s="82">
        <f>AVERAGE(F12:I12)</f>
        <v>10270.795971132864</v>
      </c>
      <c r="D12" s="82">
        <f>AVERAGE(G12:J12)</f>
        <v>5827.2837368673236</v>
      </c>
      <c r="E12" s="82">
        <f>AVERAGE(H12:K12)</f>
        <v>48.967873609103719</v>
      </c>
      <c r="F12" s="78">
        <v>17812.716152699999</v>
      </c>
      <c r="G12" s="78">
        <v>23156.974675000001</v>
      </c>
      <c r="H12" s="319">
        <f>'Nat Gas'!H12/Enrollment!H12</f>
        <v>54.196700242744065</v>
      </c>
      <c r="I12" s="319">
        <f>'Nat Gas'!I12/Enrollment!I12</f>
        <v>59.296356588709678</v>
      </c>
      <c r="J12" s="319">
        <f>'Nat Gas'!J12/Enrollment!J12</f>
        <v>38.667215637837835</v>
      </c>
      <c r="K12" s="319">
        <f>'Nat Gas'!K12/Enrollment!K12</f>
        <v>43.711221967123286</v>
      </c>
      <c r="L12" s="319">
        <f>'Nat Gas'!L12/Enrollment!L12</f>
        <v>58.853794754545454</v>
      </c>
      <c r="M12" s="319">
        <f>'Nat Gas'!M12/Enrollment!M12</f>
        <v>52.077117548022599</v>
      </c>
      <c r="N12" s="319">
        <f>'Nat Gas'!N12/Enrollment!N12</f>
        <v>56.102416414749257</v>
      </c>
      <c r="O12" s="319">
        <f>'Nat Gas'!O12/Enrollment!O12</f>
        <v>63.922156944767444</v>
      </c>
      <c r="P12" s="319">
        <f>'Nat Gas'!P12/Enrollment!P12</f>
        <v>68.553828695652172</v>
      </c>
      <c r="Q12" s="319">
        <f>'Nat Gas'!Q12/Enrollment!Q12</f>
        <v>71.107950694006306</v>
      </c>
      <c r="R12" s="319">
        <f>'Nat Gas'!R12/Enrollment!R12</f>
        <v>61.999011836363636</v>
      </c>
      <c r="S12" s="319">
        <f>'Nat Gas'!S12/Enrollment!S12</f>
        <v>61.113779577287062</v>
      </c>
      <c r="T12" s="319">
        <f>'Nat Gas'!T12/Enrollment!T12</f>
        <v>113.84662162162162</v>
      </c>
      <c r="U12" s="413">
        <f>'Nat Gas'!U12/Enrollment!U12</f>
        <v>72.724764890282131</v>
      </c>
    </row>
    <row r="13" spans="2:21" ht="17" thickBot="1">
      <c r="B13" s="188" t="s">
        <v>21</v>
      </c>
      <c r="C13" s="78">
        <v>22235.645260000001</v>
      </c>
      <c r="D13" s="78">
        <v>16106.949925000001</v>
      </c>
      <c r="E13" s="78">
        <v>16458.874127999999</v>
      </c>
      <c r="F13" s="78">
        <v>19919.940526999999</v>
      </c>
      <c r="G13" s="78">
        <v>24531.671814000001</v>
      </c>
      <c r="H13" s="70" t="s">
        <v>253</v>
      </c>
      <c r="I13" s="70" t="s">
        <v>253</v>
      </c>
      <c r="J13" s="70" t="s">
        <v>253</v>
      </c>
      <c r="K13" s="70" t="s">
        <v>253</v>
      </c>
      <c r="L13" s="70" t="s">
        <v>253</v>
      </c>
      <c r="M13" s="70" t="s">
        <v>253</v>
      </c>
      <c r="N13" s="70" t="s">
        <v>253</v>
      </c>
      <c r="O13" s="70" t="s">
        <v>253</v>
      </c>
      <c r="P13" s="70" t="s">
        <v>253</v>
      </c>
      <c r="Q13" s="70" t="s">
        <v>253</v>
      </c>
      <c r="R13" s="70" t="s">
        <v>253</v>
      </c>
      <c r="S13" s="70" t="s">
        <v>253</v>
      </c>
      <c r="T13" s="70" t="s">
        <v>253</v>
      </c>
      <c r="U13" s="86" t="s">
        <v>253</v>
      </c>
    </row>
    <row r="14" spans="2:21" ht="16">
      <c r="B14" s="188" t="s">
        <v>23</v>
      </c>
      <c r="C14" s="78">
        <v>32954.065970000003</v>
      </c>
      <c r="D14" s="78">
        <v>27366.341971999998</v>
      </c>
      <c r="E14" s="78">
        <v>31742.835739999999</v>
      </c>
      <c r="F14" s="78">
        <v>37319.754931000003</v>
      </c>
      <c r="G14" s="78">
        <v>34419.529882000003</v>
      </c>
      <c r="H14" s="319">
        <f>'Nat Gas'!H14/Enrollment!H14</f>
        <v>118.08996433432837</v>
      </c>
      <c r="I14" s="319">
        <f>'Nat Gas'!I14/Enrollment!I14</f>
        <v>117.18754935933148</v>
      </c>
      <c r="J14" s="319">
        <f>'Nat Gas'!J14/Enrollment!J14</f>
        <v>73.97349044043716</v>
      </c>
      <c r="K14" s="319">
        <f>'Nat Gas'!K14/Enrollment!K14</f>
        <v>89.202705285386827</v>
      </c>
      <c r="L14" s="319">
        <f>'Nat Gas'!L14/Enrollment!L14</f>
        <v>118.98377619881657</v>
      </c>
      <c r="M14" s="319">
        <f>'Nat Gas'!M14/Enrollment!M14</f>
        <v>118.21265338670696</v>
      </c>
      <c r="N14" s="319">
        <f>'Nat Gas'!N14/Enrollment!N14</f>
        <v>94.784041119496862</v>
      </c>
      <c r="O14" s="319">
        <f>'Nat Gas'!O14/Enrollment!O14</f>
        <v>98.009295095505607</v>
      </c>
      <c r="P14" s="319">
        <f>'Nat Gas'!P14/Enrollment!P14</f>
        <v>135.26798142165242</v>
      </c>
      <c r="Q14" s="319">
        <f>'Nat Gas'!Q14/Enrollment!Q14</f>
        <v>117.09456923237597</v>
      </c>
      <c r="R14" s="319">
        <f>'Nat Gas'!R14/Enrollment!R14</f>
        <v>97.240067668380462</v>
      </c>
      <c r="S14" s="319">
        <f>'Nat Gas'!S14/Enrollment!S14</f>
        <v>101.10874890000001</v>
      </c>
      <c r="T14" s="319">
        <f>'Nat Gas'!T14/Enrollment!T14</f>
        <v>147.94512820512821</v>
      </c>
      <c r="U14" s="413">
        <f>'Nat Gas'!U14/Enrollment!U14</f>
        <v>98.029411764705884</v>
      </c>
    </row>
    <row r="15" spans="2:21" ht="17" thickBot="1">
      <c r="B15" s="188" t="s">
        <v>25</v>
      </c>
      <c r="C15" s="82"/>
      <c r="D15" s="78">
        <v>25643.316248800002</v>
      </c>
      <c r="E15" s="78">
        <v>30582.7721155</v>
      </c>
      <c r="F15" s="78">
        <v>29897.047770000001</v>
      </c>
      <c r="G15" s="78">
        <v>31472.388438000002</v>
      </c>
      <c r="H15" s="74">
        <f>'Nat Gas'!H15/Enrollment!H15</f>
        <v>69.116605068269237</v>
      </c>
      <c r="I15" s="74">
        <f>'Nat Gas'!I15/Enrollment!I15</f>
        <v>71.029917288461533</v>
      </c>
      <c r="J15" s="74">
        <f>'Nat Gas'!J15/Enrollment!J15</f>
        <v>54.783770679334914</v>
      </c>
      <c r="K15" s="74">
        <f>'Nat Gas'!K15/Enrollment!K15</f>
        <v>59.936686978520285</v>
      </c>
      <c r="L15" s="74">
        <f>'Nat Gas'!L15/Enrollment!L15</f>
        <v>75.426154510150369</v>
      </c>
      <c r="M15" s="74">
        <f>'Nat Gas'!M15/Enrollment!M15</f>
        <v>79.569388113725495</v>
      </c>
      <c r="N15" s="74">
        <f>'Nat Gas'!N15/Enrollment!N15</f>
        <v>74.485458826239793</v>
      </c>
      <c r="O15" s="74">
        <f>'Nat Gas'!O15/Enrollment!O15</f>
        <v>79.041191515915912</v>
      </c>
      <c r="P15" s="74">
        <f>'Nat Gas'!P15/Enrollment!P15</f>
        <v>150.05913414285715</v>
      </c>
      <c r="Q15" s="74">
        <f>'Nat Gas'!Q15/Enrollment!Q15</f>
        <v>118.04216966078948</v>
      </c>
      <c r="R15" s="74">
        <f>'Nat Gas'!R15/Enrollment!R15</f>
        <v>106.23379233002754</v>
      </c>
      <c r="S15" s="74">
        <f>'Nat Gas'!S15/Enrollment!S15</f>
        <v>90.643220338983056</v>
      </c>
      <c r="T15" s="74">
        <f>'Nat Gas'!T15/Enrollment!T15</f>
        <v>106.58363095238094</v>
      </c>
      <c r="U15" s="96">
        <f>'Nat Gas'!U15/Enrollment!U15</f>
        <v>74.521195652173915</v>
      </c>
    </row>
    <row r="16" spans="2:21" ht="16">
      <c r="B16" s="188" t="s">
        <v>27</v>
      </c>
      <c r="C16" s="78">
        <v>33802.339789899997</v>
      </c>
      <c r="D16" s="78">
        <v>25884.503594999998</v>
      </c>
      <c r="E16" s="78">
        <v>29612.855920000002</v>
      </c>
      <c r="F16" s="78">
        <v>28422.651153999999</v>
      </c>
      <c r="G16" s="78">
        <v>35606.199775000001</v>
      </c>
      <c r="H16" s="319">
        <f>'Nat Gas'!H16/Enrollment!H16</f>
        <v>74.044152657831319</v>
      </c>
      <c r="I16" s="319">
        <f>'Nat Gas'!I16/Enrollment!I16</f>
        <v>71.525715269607844</v>
      </c>
      <c r="J16" s="319">
        <f>'Nat Gas'!J16/Enrollment!J16</f>
        <v>67.306897742718448</v>
      </c>
      <c r="K16" s="319">
        <f>'Nat Gas'!K16/Enrollment!K16</f>
        <v>57.228134313901343</v>
      </c>
      <c r="L16" s="319">
        <f>'Nat Gas'!L16/Enrollment!L16</f>
        <v>78.376267829279271</v>
      </c>
      <c r="M16" s="319">
        <f>'Nat Gas'!M16/Enrollment!M16</f>
        <v>68.559823167573697</v>
      </c>
      <c r="N16" s="319">
        <f>'Nat Gas'!N16/Enrollment!N16</f>
        <v>64.217421657142864</v>
      </c>
      <c r="O16" s="319">
        <f>'Nat Gas'!O16/Enrollment!O16</f>
        <v>84.284358224696362</v>
      </c>
      <c r="P16" s="319">
        <f>'Nat Gas'!P16/Enrollment!P16</f>
        <v>77.823592595238082</v>
      </c>
      <c r="Q16" s="319">
        <f>'Nat Gas'!Q16/Enrollment!Q16</f>
        <v>89.03089954110898</v>
      </c>
      <c r="R16" s="319">
        <f>'Nat Gas'!R16/Enrollment!R16</f>
        <v>81.984857846743296</v>
      </c>
      <c r="S16" s="319">
        <f>'Nat Gas'!S16/Enrollment!S16</f>
        <v>81.567593311475406</v>
      </c>
      <c r="T16" s="319">
        <f>'Nat Gas'!T16/Enrollment!T16</f>
        <v>85.292215568862275</v>
      </c>
      <c r="U16" s="413">
        <f>'Nat Gas'!U16/Enrollment!U16</f>
        <v>72.004230769230759</v>
      </c>
    </row>
    <row r="17" spans="2:21" ht="17" thickBot="1">
      <c r="B17" s="188" t="s">
        <v>29</v>
      </c>
      <c r="C17" s="78">
        <v>27115.660145000002</v>
      </c>
      <c r="D17" s="78">
        <v>19455.070899400002</v>
      </c>
      <c r="E17" s="78">
        <v>32611.9166286</v>
      </c>
      <c r="F17" s="78">
        <v>22112.878865899998</v>
      </c>
      <c r="G17" s="78">
        <v>23708.932350999999</v>
      </c>
      <c r="H17" s="74">
        <f>'Nat Gas'!H17/Enrollment!H17</f>
        <v>70.70095255561688</v>
      </c>
      <c r="I17" s="74">
        <f>'Nat Gas'!I17/Enrollment!I17</f>
        <v>71.734917273809529</v>
      </c>
      <c r="J17" s="74">
        <f>'Nat Gas'!J17/Enrollment!J17</f>
        <v>53.019489028022925</v>
      </c>
      <c r="K17" s="74">
        <f>'Nat Gas'!K17/Enrollment!K17</f>
        <v>54.095093530542165</v>
      </c>
      <c r="L17" s="74">
        <f>'Nat Gas'!L17/Enrollment!L17</f>
        <v>59.722811709859158</v>
      </c>
      <c r="M17" s="74">
        <f>'Nat Gas'!M17/Enrollment!M17</f>
        <v>67.989966772861351</v>
      </c>
      <c r="N17" s="74">
        <f>'Nat Gas'!N17/Enrollment!N17</f>
        <v>67.935854045454548</v>
      </c>
      <c r="O17" s="74">
        <f>'Nat Gas'!O17/Enrollment!O17</f>
        <v>68.145973109706844</v>
      </c>
      <c r="P17" s="74">
        <f>'Nat Gas'!P17/Enrollment!P17</f>
        <v>72.577889057508301</v>
      </c>
      <c r="Q17" s="74">
        <f>'Nat Gas'!Q17/Enrollment!Q17</f>
        <v>59.855953135761588</v>
      </c>
      <c r="R17" s="74">
        <f>'Nat Gas'!R17/Enrollment!R17</f>
        <v>63.553094416949158</v>
      </c>
      <c r="S17" s="74">
        <f>'Nat Gas'!S17/Enrollment!S17</f>
        <v>69.48049188679245</v>
      </c>
      <c r="T17" s="74">
        <f>'Nat Gas'!T17/Enrollment!T17</f>
        <v>67.278651685393257</v>
      </c>
      <c r="U17" s="96">
        <f>'Nat Gas'!U17/Enrollment!U17</f>
        <v>67.865168563432832</v>
      </c>
    </row>
    <row r="18" spans="2:21" ht="16">
      <c r="B18" s="188" t="s">
        <v>31</v>
      </c>
      <c r="C18" s="82"/>
      <c r="D18" s="82"/>
      <c r="E18" s="71">
        <v>26335.824489300001</v>
      </c>
      <c r="F18" s="71">
        <v>29449.343841800001</v>
      </c>
      <c r="G18" s="71">
        <v>26117.360974899999</v>
      </c>
      <c r="H18" s="319">
        <f>'Nat Gas'!H18/Enrollment!H18</f>
        <v>46.543674370663808</v>
      </c>
      <c r="I18" s="319">
        <f>'Nat Gas'!I18/Enrollment!I18</f>
        <v>50.16936969114014</v>
      </c>
      <c r="J18" s="319">
        <f>'Nat Gas'!J18/Enrollment!J18</f>
        <v>42.400163912313253</v>
      </c>
      <c r="K18" s="319">
        <f>'Nat Gas'!K18/Enrollment!K18</f>
        <v>46.419041383576165</v>
      </c>
      <c r="L18" s="319">
        <f>'Nat Gas'!L18/Enrollment!L18</f>
        <v>55.158360658660506</v>
      </c>
      <c r="M18" s="319">
        <f>'Nat Gas'!M18/Enrollment!M18</f>
        <v>82.837670976310264</v>
      </c>
      <c r="N18" s="319">
        <f>'Nat Gas'!N18/Enrollment!N18</f>
        <v>51.214533469052633</v>
      </c>
      <c r="O18" s="319">
        <f>'Nat Gas'!O18/Enrollment!O18</f>
        <v>53.527025031297406</v>
      </c>
      <c r="P18" s="319">
        <f>'Nat Gas'!P18/Enrollment!P18</f>
        <v>57.485464801976285</v>
      </c>
      <c r="Q18" s="319">
        <f>'Nat Gas'!Q18/Enrollment!Q18</f>
        <v>65.862936288740457</v>
      </c>
      <c r="R18" s="319">
        <f>'Nat Gas'!R18/Enrollment!R18</f>
        <v>74.235408908270685</v>
      </c>
      <c r="S18" s="319">
        <f>'Nat Gas'!S18/Enrollment!S18</f>
        <v>62.13117629736842</v>
      </c>
      <c r="T18" s="319">
        <f>'Nat Gas'!T18/Enrollment!T18</f>
        <v>68.779184549356216</v>
      </c>
      <c r="U18" s="413">
        <f>'Nat Gas'!U18/Enrollment!U18</f>
        <v>58.016590909090908</v>
      </c>
    </row>
    <row r="19" spans="2:21" ht="17" thickBot="1">
      <c r="B19" s="188" t="s">
        <v>33</v>
      </c>
      <c r="C19" s="78">
        <v>10932.7889196</v>
      </c>
      <c r="D19" s="78">
        <v>7756.4843182000004</v>
      </c>
      <c r="E19" s="78">
        <v>25730.283267999999</v>
      </c>
      <c r="F19" s="78">
        <v>5956.3838859999996</v>
      </c>
      <c r="G19" s="78">
        <v>11052.895769000001</v>
      </c>
      <c r="H19" s="74">
        <f>'Nat Gas'!H19/Enrollment!H19</f>
        <v>63.996638381502891</v>
      </c>
      <c r="I19" s="74">
        <f>'Nat Gas'!I19/Enrollment!I19</f>
        <v>44.352408870317007</v>
      </c>
      <c r="J19" s="74">
        <f>'Nat Gas'!J19/Enrollment!J19</f>
        <v>51.756200608988763</v>
      </c>
      <c r="K19" s="74">
        <f>'Nat Gas'!K19/Enrollment!K19</f>
        <v>48.458148507934133</v>
      </c>
      <c r="L19" s="74">
        <f>'Nat Gas'!L19/Enrollment!L19</f>
        <v>78.25768852528735</v>
      </c>
      <c r="M19" s="74">
        <f>'Nat Gas'!M19/Enrollment!M19</f>
        <v>49.423822119047621</v>
      </c>
      <c r="N19" s="74">
        <f>'Nat Gas'!N19/Enrollment!N19</f>
        <v>35.56778743018868</v>
      </c>
      <c r="O19" s="74">
        <f>'Nat Gas'!O19/Enrollment!O19</f>
        <v>53.276062902735561</v>
      </c>
      <c r="P19" s="74">
        <f>'Nat Gas'!P19/Enrollment!P19</f>
        <v>69.944829673981189</v>
      </c>
      <c r="Q19" s="74">
        <f>'Nat Gas'!Q19/Enrollment!Q19</f>
        <v>67.26147279761193</v>
      </c>
      <c r="R19" s="74">
        <f>'Nat Gas'!R19/Enrollment!R19</f>
        <v>41.551220064383564</v>
      </c>
      <c r="S19" s="74">
        <f>'Nat Gas'!S19/Enrollment!S19</f>
        <v>45.433988910979231</v>
      </c>
      <c r="T19" s="74">
        <f>'Nat Gas'!T19/Enrollment!T19</f>
        <v>53.970868347338929</v>
      </c>
      <c r="U19" s="96">
        <f>'Nat Gas'!U19/Enrollment!U19</f>
        <v>45.063101604278074</v>
      </c>
    </row>
    <row r="20" spans="2:21" ht="16">
      <c r="B20" s="188" t="s">
        <v>74</v>
      </c>
      <c r="C20" s="78">
        <v>41438.364370000003</v>
      </c>
      <c r="D20" s="78">
        <v>40902.609424000002</v>
      </c>
      <c r="E20" s="78">
        <v>39202.730229000001</v>
      </c>
      <c r="F20" s="78">
        <v>50312.264365000003</v>
      </c>
      <c r="G20" s="78">
        <v>59819.244203000002</v>
      </c>
      <c r="H20" s="319">
        <f>'Nat Gas'!H20/Enrollment!H20</f>
        <v>87.204724484599595</v>
      </c>
      <c r="I20" s="319">
        <f>'Nat Gas'!I20/Enrollment!I20</f>
        <v>101.22128061077844</v>
      </c>
      <c r="J20" s="319">
        <f>'Nat Gas'!J20/Enrollment!J20</f>
        <v>89.797552738522967</v>
      </c>
      <c r="K20" s="319">
        <f>'Nat Gas'!K20/Enrollment!K20</f>
        <v>91.886213845898439</v>
      </c>
      <c r="L20" s="319">
        <f>'Nat Gas'!L20/Enrollment!L20</f>
        <v>105.79602058089668</v>
      </c>
      <c r="M20" s="319">
        <f>'Nat Gas'!M20/Enrollment!M20</f>
        <v>112.34685864400001</v>
      </c>
      <c r="N20" s="319">
        <f>'Nat Gas'!N20/Enrollment!N20</f>
        <v>80.019374920370367</v>
      </c>
      <c r="O20" s="319">
        <f>'Nat Gas'!O20/Enrollment!O20</f>
        <v>77.571507537878787</v>
      </c>
      <c r="P20" s="319">
        <f>'Nat Gas'!P20/Enrollment!P20</f>
        <v>103.81626433204633</v>
      </c>
      <c r="Q20" s="319">
        <f>'Nat Gas'!Q20/Enrollment!Q20</f>
        <v>125.08147193474089</v>
      </c>
      <c r="R20" s="319">
        <f>'Nat Gas'!R20/Enrollment!R20</f>
        <v>93.656359364683297</v>
      </c>
      <c r="S20" s="319">
        <f>'Nat Gas'!S20/Enrollment!S20</f>
        <v>86.805794392523367</v>
      </c>
      <c r="T20" s="319">
        <f>'Nat Gas'!T20/Enrollment!T20</f>
        <v>104.78713450292398</v>
      </c>
      <c r="U20" s="413">
        <f>'Nat Gas'!U20/Enrollment!U20</f>
        <v>100.25510597302505</v>
      </c>
    </row>
    <row r="21" spans="2:21" ht="17" thickBot="1">
      <c r="B21" s="188" t="s">
        <v>36</v>
      </c>
      <c r="C21" s="83">
        <v>26357.37327</v>
      </c>
      <c r="D21" s="83">
        <v>20248.715385</v>
      </c>
      <c r="E21" s="83">
        <v>23215.996350099998</v>
      </c>
      <c r="F21" s="83">
        <v>27176.884966099999</v>
      </c>
      <c r="G21" s="83">
        <v>30401.557197400001</v>
      </c>
      <c r="H21" s="74">
        <f>'Nat Gas'!H21/Enrollment!H21</f>
        <v>88.091613044964021</v>
      </c>
      <c r="I21" s="74">
        <f>'Nat Gas'!I21/Enrollment!I21</f>
        <v>91.137498402692302</v>
      </c>
      <c r="J21" s="74">
        <f>'Nat Gas'!J21/Enrollment!J21</f>
        <v>57.642408504561402</v>
      </c>
      <c r="K21" s="74">
        <f>'Nat Gas'!K21/Enrollment!K21</f>
        <v>71.940594173476697</v>
      </c>
      <c r="L21" s="74">
        <f>'Nat Gas'!L21/Enrollment!L21</f>
        <v>99.390545606521741</v>
      </c>
      <c r="M21" s="74">
        <f>'Nat Gas'!M21/Enrollment!M21</f>
        <v>86.467841096000001</v>
      </c>
      <c r="N21" s="74">
        <f>'Nat Gas'!N21/Enrollment!N21</f>
        <v>60.781822628075709</v>
      </c>
      <c r="O21" s="74">
        <f>'Nat Gas'!O21/Enrollment!O21</f>
        <v>69.537927309834714</v>
      </c>
      <c r="P21" s="74">
        <f>'Nat Gas'!P21/Enrollment!P21</f>
        <v>73.207739628109451</v>
      </c>
      <c r="Q21" s="74">
        <f>'Nat Gas'!Q21/Enrollment!Q21</f>
        <v>73.299466400941171</v>
      </c>
      <c r="R21" s="74">
        <f>'Nat Gas'!R21/Enrollment!R21</f>
        <v>69.484223485642318</v>
      </c>
      <c r="S21" s="74">
        <f>'Nat Gas'!S21/Enrollment!S21</f>
        <v>62.546267993103449</v>
      </c>
      <c r="T21" s="74">
        <f>'Nat Gas'!T21/Enrollment!T21</f>
        <v>70.456503198294243</v>
      </c>
      <c r="U21" s="96">
        <f>'Nat Gas'!U21/Enrollment!U21</f>
        <v>61.81129807692308</v>
      </c>
    </row>
    <row r="22" spans="2:21" ht="16">
      <c r="B22" s="188" t="s">
        <v>67</v>
      </c>
      <c r="C22" s="83">
        <v>42607.673790699999</v>
      </c>
      <c r="D22" s="83">
        <v>34021.311665000001</v>
      </c>
      <c r="E22" s="83">
        <v>36591.378233000003</v>
      </c>
      <c r="F22" s="83">
        <v>47132.2717405</v>
      </c>
      <c r="G22" s="83">
        <v>51203.201454000002</v>
      </c>
      <c r="H22" s="319">
        <f>'Nat Gas'!H22/Enrollment!H22</f>
        <v>149.33875617818182</v>
      </c>
      <c r="I22" s="319">
        <f>'Nat Gas'!I22/Enrollment!I22</f>
        <v>162.87301713667955</v>
      </c>
      <c r="J22" s="319">
        <f>'Nat Gas'!J22/Enrollment!J22</f>
        <v>149.44007167413795</v>
      </c>
      <c r="K22" s="319">
        <f>'Nat Gas'!K22/Enrollment!K22</f>
        <v>171.71588190642203</v>
      </c>
      <c r="L22" s="319">
        <f>'Nat Gas'!L22/Enrollment!L22</f>
        <v>267.17607776296296</v>
      </c>
      <c r="M22" s="319">
        <f>'Nat Gas'!M22/Enrollment!M22</f>
        <v>73.245606168734497</v>
      </c>
      <c r="N22" s="319">
        <f>'Nat Gas'!N22/Enrollment!N22</f>
        <v>46.644369201138517</v>
      </c>
      <c r="O22" s="319">
        <f>'Nat Gas'!O22/Enrollment!O22</f>
        <v>82.596070263772958</v>
      </c>
      <c r="P22" s="319">
        <f>'Nat Gas'!P22/Enrollment!P22</f>
        <v>87.711392696369629</v>
      </c>
      <c r="Q22" s="319">
        <f>'Nat Gas'!Q22/Enrollment!Q22</f>
        <v>83.298826630744855</v>
      </c>
      <c r="R22" s="319">
        <f>'Nat Gas'!R22/Enrollment!R22</f>
        <v>66.647331391167199</v>
      </c>
      <c r="S22" s="319">
        <f>'Nat Gas'!S22/Enrollment!S22</f>
        <v>81.305502373015869</v>
      </c>
      <c r="T22" s="319">
        <f>'Nat Gas'!T22/Enrollment!T22</f>
        <v>84.405752961082911</v>
      </c>
      <c r="U22" s="413">
        <f>'Nat Gas'!U22/Enrollment!U22</f>
        <v>65.980998389694037</v>
      </c>
    </row>
    <row r="23" spans="2:21" ht="17" thickBot="1">
      <c r="B23" s="188" t="s">
        <v>39</v>
      </c>
      <c r="C23" s="83">
        <v>24265.77248</v>
      </c>
      <c r="D23" s="83">
        <v>27312.000304000001</v>
      </c>
      <c r="E23" s="83">
        <v>27225.040879</v>
      </c>
      <c r="F23" s="83">
        <v>29110.445275999999</v>
      </c>
      <c r="G23" s="83">
        <v>28463.616307</v>
      </c>
      <c r="H23" s="74">
        <f>'Nat Gas'!H23/Enrollment!H23</f>
        <v>74.122593554487167</v>
      </c>
      <c r="I23" s="74">
        <f>'Nat Gas'!I23/Enrollment!I23</f>
        <v>87.586155763975157</v>
      </c>
      <c r="J23" s="74">
        <f>'Nat Gas'!J23/Enrollment!J23</f>
        <v>74.908451878419456</v>
      </c>
      <c r="K23" s="74">
        <f>'Nat Gas'!K23/Enrollment!K23</f>
        <v>76.444978424242422</v>
      </c>
      <c r="L23" s="74">
        <f>'Nat Gas'!L23/Enrollment!L23</f>
        <v>93.009418661764713</v>
      </c>
      <c r="M23" s="74">
        <f>'Nat Gas'!M23/Enrollment!M23</f>
        <v>73.854393958083833</v>
      </c>
      <c r="N23" s="74">
        <f>'Nat Gas'!N23/Enrollment!N23</f>
        <v>73.210855438596482</v>
      </c>
      <c r="O23" s="74">
        <f>'Nat Gas'!O23/Enrollment!O23</f>
        <v>73.122610080536916</v>
      </c>
      <c r="P23" s="74">
        <f>'Nat Gas'!P23/Enrollment!P23</f>
        <v>81.5039960397351</v>
      </c>
      <c r="Q23" s="74">
        <f>'Nat Gas'!Q23/Enrollment!Q23</f>
        <v>94.282927525362311</v>
      </c>
      <c r="R23" s="74">
        <f>'Nat Gas'!R23/Enrollment!R23</f>
        <v>89.58893672332016</v>
      </c>
      <c r="S23" s="74">
        <f>'Nat Gas'!S23/Enrollment!S23</f>
        <v>125.2085174137931</v>
      </c>
      <c r="T23" s="74">
        <f>'Nat Gas'!T23/Enrollment!T23</f>
        <v>161.84818181818181</v>
      </c>
      <c r="U23" s="96">
        <f>'Nat Gas'!U23/Enrollment!U23</f>
        <v>138.52850877192984</v>
      </c>
    </row>
    <row r="24" spans="2:21" ht="16">
      <c r="B24" s="188" t="s">
        <v>41</v>
      </c>
      <c r="C24" s="83">
        <v>32076.397067999998</v>
      </c>
      <c r="D24" s="83">
        <v>29721.626858</v>
      </c>
      <c r="E24" s="83">
        <v>28264.888778</v>
      </c>
      <c r="F24" s="83">
        <v>29371.789300199998</v>
      </c>
      <c r="G24" s="83">
        <v>26528.464816</v>
      </c>
      <c r="H24" s="319">
        <f>'Nat Gas'!H24/Enrollment!H24</f>
        <v>133.38208216740088</v>
      </c>
      <c r="I24" s="319">
        <f>'Nat Gas'!I24/Enrollment!I24</f>
        <v>87.855828436507934</v>
      </c>
      <c r="J24" s="319">
        <f>'Nat Gas'!J24/Enrollment!J24</f>
        <v>55.372848128443579</v>
      </c>
      <c r="K24" s="319">
        <f>'Nat Gas'!K24/Enrollment!K24</f>
        <v>64.330494008130074</v>
      </c>
      <c r="L24" s="319">
        <f>'Nat Gas'!L24/Enrollment!L24</f>
        <v>91.742771372384937</v>
      </c>
      <c r="M24" s="319">
        <f>'Nat Gas'!M24/Enrollment!M24</f>
        <v>122.30722135483872</v>
      </c>
      <c r="N24" s="319">
        <f>'Nat Gas'!N24/Enrollment!N24</f>
        <v>69.285701991803279</v>
      </c>
      <c r="O24" s="319">
        <f>'Nat Gas'!O24/Enrollment!O24</f>
        <v>84.456522616535437</v>
      </c>
      <c r="P24" s="319">
        <f>'Nat Gas'!P24/Enrollment!P24</f>
        <v>100.48455156784314</v>
      </c>
      <c r="Q24" s="319">
        <f>'Nat Gas'!Q24/Enrollment!Q24</f>
        <v>86.06120656727272</v>
      </c>
      <c r="R24" s="319">
        <f>'Nat Gas'!R24/Enrollment!R24</f>
        <v>81.291880952554749</v>
      </c>
      <c r="S24" s="319">
        <f>'Nat Gas'!S24/Enrollment!S24</f>
        <v>99.067796757812502</v>
      </c>
      <c r="T24" s="319">
        <f>'Nat Gas'!T24/Enrollment!T24</f>
        <v>134.8228</v>
      </c>
      <c r="U24" s="413">
        <f>'Nat Gas'!U24/Enrollment!U24</f>
        <v>100.64605809128631</v>
      </c>
    </row>
    <row r="25" spans="2:21" ht="17" thickBot="1">
      <c r="B25" s="188" t="s">
        <v>44</v>
      </c>
      <c r="C25" s="78">
        <v>22718.333640000001</v>
      </c>
      <c r="D25" s="78">
        <v>17898.64788</v>
      </c>
      <c r="E25" s="78">
        <v>24041.182843999999</v>
      </c>
      <c r="F25" s="78">
        <v>32948.501787000001</v>
      </c>
      <c r="G25" s="78">
        <v>36239.388079279997</v>
      </c>
      <c r="H25" s="74">
        <f>'Nat Gas'!H25/Enrollment!H25</f>
        <v>63.762358993611116</v>
      </c>
      <c r="I25" s="74">
        <f>'Nat Gas'!I25/Enrollment!I25</f>
        <v>73.24312349162679</v>
      </c>
      <c r="J25" s="74">
        <f>'Nat Gas'!J25/Enrollment!J25</f>
        <v>47.719180056994823</v>
      </c>
      <c r="K25" s="74">
        <f>'Nat Gas'!K25/Enrollment!K25</f>
        <v>47.24895704716981</v>
      </c>
      <c r="L25" s="74">
        <f>'Nat Gas'!L25/Enrollment!L25</f>
        <v>54.7137308</v>
      </c>
      <c r="M25" s="74">
        <f>'Nat Gas'!M25/Enrollment!M25</f>
        <v>40.24146595443645</v>
      </c>
      <c r="N25" s="74">
        <f>'Nat Gas'!N25/Enrollment!N25</f>
        <v>31.358047336442517</v>
      </c>
      <c r="O25" s="74">
        <f>'Nat Gas'!O25/Enrollment!O25</f>
        <v>40.586254118426965</v>
      </c>
      <c r="P25" s="74">
        <f>'Nat Gas'!P25/Enrollment!P25</f>
        <v>55.131378868965513</v>
      </c>
      <c r="Q25" s="74">
        <f>'Nat Gas'!Q25/Enrollment!Q25</f>
        <v>48.875710781604695</v>
      </c>
      <c r="R25" s="74">
        <f>'Nat Gas'!R25/Enrollment!R25</f>
        <v>46.517500801204818</v>
      </c>
      <c r="S25" s="74">
        <f>'Nat Gas'!S25/Enrollment!S25</f>
        <v>53.319464547169815</v>
      </c>
      <c r="T25" s="74">
        <f>'Nat Gas'!T25/Enrollment!T25</f>
        <v>64.196514161220051</v>
      </c>
      <c r="U25" s="96">
        <f>'Nat Gas'!U25/Enrollment!U25</f>
        <v>42.13</v>
      </c>
    </row>
    <row r="26" spans="2:21" ht="16">
      <c r="B26" s="188" t="s">
        <v>46</v>
      </c>
      <c r="C26" s="77" t="s">
        <v>102</v>
      </c>
      <c r="D26" s="70"/>
      <c r="E26" s="70"/>
      <c r="F26" s="70"/>
      <c r="G26" s="70"/>
      <c r="H26" s="676" t="s">
        <v>97</v>
      </c>
      <c r="I26" s="677"/>
      <c r="J26" s="678"/>
      <c r="K26" s="70"/>
      <c r="L26" s="70"/>
      <c r="M26" s="70"/>
      <c r="N26" s="70"/>
      <c r="O26" s="70"/>
      <c r="P26" s="70"/>
      <c r="Q26" s="70"/>
      <c r="R26" s="70"/>
      <c r="S26" s="70"/>
      <c r="T26" s="70"/>
      <c r="U26" s="575"/>
    </row>
    <row r="27" spans="2:21" ht="17" thickBot="1">
      <c r="B27" s="188" t="s">
        <v>49</v>
      </c>
      <c r="C27" s="78">
        <v>121657.29509</v>
      </c>
      <c r="D27" s="78">
        <v>85301.747499999998</v>
      </c>
      <c r="E27" s="78">
        <v>98797.827409999998</v>
      </c>
      <c r="F27" s="78">
        <v>109995.04498000001</v>
      </c>
      <c r="G27" s="78">
        <v>127642.892324</v>
      </c>
      <c r="H27" s="74">
        <f>'Nat Gas'!H27/Enrollment!H27</f>
        <v>171.62711928473178</v>
      </c>
      <c r="I27" s="74">
        <f>'Nat Gas'!I27/Enrollment!I27</f>
        <v>139.76543391666667</v>
      </c>
      <c r="J27" s="74">
        <f>'Nat Gas'!J27/Enrollment!J27</f>
        <v>113.24923886640212</v>
      </c>
      <c r="K27" s="74">
        <f>'Nat Gas'!K27/Enrollment!K27</f>
        <v>143.93832862246279</v>
      </c>
      <c r="L27" s="74">
        <f>'Nat Gas'!L27/Enrollment!L27</f>
        <v>133.62991468265162</v>
      </c>
      <c r="M27" s="74">
        <f>'Nat Gas'!M27/Enrollment!M27</f>
        <v>93.384955741839761</v>
      </c>
      <c r="N27" s="74">
        <f>'Nat Gas'!N27/Enrollment!N27</f>
        <v>122.10214939440993</v>
      </c>
      <c r="O27" s="74">
        <f>'Nat Gas'!O27/Enrollment!O27</f>
        <v>97.017345277616272</v>
      </c>
      <c r="P27" s="74">
        <f>'Nat Gas'!P27/Enrollment!P27</f>
        <v>98.607913348554035</v>
      </c>
      <c r="Q27" s="74">
        <f>'Nat Gas'!Q27/Enrollment!Q27</f>
        <v>122.54725782414307</v>
      </c>
      <c r="R27" s="74">
        <f>'Nat Gas'!R27/Enrollment!R27</f>
        <v>174.02831869436201</v>
      </c>
      <c r="S27" s="74">
        <f>'Nat Gas'!S27/Enrollment!S27</f>
        <v>130.59690413841807</v>
      </c>
      <c r="T27" s="74">
        <f>'Nat Gas'!T27/Enrollment!T27</f>
        <v>157.94566473988439</v>
      </c>
      <c r="U27" s="96">
        <f>'Nat Gas'!U27/Enrollment!U27</f>
        <v>147.48611705409354</v>
      </c>
    </row>
    <row r="28" spans="2:21" ht="16">
      <c r="B28" s="188" t="s">
        <v>51</v>
      </c>
      <c r="C28" s="78">
        <v>125164.690044</v>
      </c>
      <c r="D28" s="78">
        <v>97503.075899999996</v>
      </c>
      <c r="E28" s="78">
        <v>134490.85352500001</v>
      </c>
      <c r="F28" s="78">
        <v>123193.655011</v>
      </c>
      <c r="G28" s="78">
        <v>129957.0303688</v>
      </c>
      <c r="H28" s="74">
        <f>'Nat Gas'!H28/Enrollment!H28</f>
        <v>127.19908299616492</v>
      </c>
      <c r="I28" s="74">
        <f>'Nat Gas'!I28/Enrollment!I28</f>
        <v>128.10301175630252</v>
      </c>
      <c r="J28" s="74">
        <f>'Nat Gas'!J28/Enrollment!J28</f>
        <v>101.02841714259928</v>
      </c>
      <c r="K28" s="74">
        <f>'Nat Gas'!K28/Enrollment!K28</f>
        <v>110.49235907426997</v>
      </c>
      <c r="L28" s="74">
        <f>'Nat Gas'!L28/Enrollment!L28</f>
        <v>114.56615827200001</v>
      </c>
      <c r="M28" s="74">
        <f>'Nat Gas'!M28/Enrollment!M28</f>
        <v>98.871336816952208</v>
      </c>
      <c r="N28" s="74">
        <f>'Nat Gas'!N28/Enrollment!N28</f>
        <v>98.022839976868326</v>
      </c>
      <c r="O28" s="74">
        <f>'Nat Gas'!O28/Enrollment!O28</f>
        <v>111.8770879109528</v>
      </c>
      <c r="P28" s="74">
        <f>'Nat Gas'!P28/Enrollment!P28</f>
        <v>120.59402241754387</v>
      </c>
      <c r="Q28" s="74">
        <f>'Nat Gas'!Q28/Enrollment!Q28</f>
        <v>140.94878608238389</v>
      </c>
      <c r="R28" s="74">
        <f>'Nat Gas'!R28/Enrollment!R28</f>
        <v>107.73731031171251</v>
      </c>
      <c r="S28" s="74">
        <f>'Nat Gas'!S28/Enrollment!S28</f>
        <v>109.64015594541911</v>
      </c>
      <c r="T28" s="74">
        <f>'Nat Gas'!T28/Enrollment!T28</f>
        <v>141.25925542916238</v>
      </c>
      <c r="U28" s="413">
        <f>'Nat Gas'!U28/Enrollment!U28</f>
        <v>118.95343839541547</v>
      </c>
    </row>
    <row r="29" spans="2:21" ht="17" thickBot="1">
      <c r="B29" s="188" t="s">
        <v>53</v>
      </c>
      <c r="C29" s="78">
        <v>98155.086769999994</v>
      </c>
      <c r="D29" s="78">
        <v>77789.769950999995</v>
      </c>
      <c r="E29" s="78">
        <v>87303.823920039998</v>
      </c>
      <c r="F29" s="78">
        <v>109670.25810200001</v>
      </c>
      <c r="G29" s="78">
        <v>109126.28381199999</v>
      </c>
      <c r="H29" s="74">
        <f>'Nat Gas'!H29/Enrollment!H29</f>
        <v>177.28618347583642</v>
      </c>
      <c r="I29" s="74">
        <f>'Nat Gas'!I29/Enrollment!I29</f>
        <v>171.29601155148342</v>
      </c>
      <c r="J29" s="74">
        <f>'Nat Gas'!J29/Enrollment!J29</f>
        <v>145.39482462135919</v>
      </c>
      <c r="K29" s="74">
        <f>'Nat Gas'!K29/Enrollment!K29</f>
        <v>165.45800787722771</v>
      </c>
      <c r="L29" s="74">
        <f>'Nat Gas'!L29/Enrollment!L29</f>
        <v>184.38890150286886</v>
      </c>
      <c r="M29" s="74">
        <f>'Nat Gas'!M29/Enrollment!M29</f>
        <v>151.21383874193549</v>
      </c>
      <c r="N29" s="74">
        <f>'Nat Gas'!N29/Enrollment!N29</f>
        <v>152.48739448020655</v>
      </c>
      <c r="O29" s="74">
        <f>'Nat Gas'!O29/Enrollment!O29</f>
        <v>177.60745750433276</v>
      </c>
      <c r="P29" s="74">
        <f>'Nat Gas'!P29/Enrollment!P29</f>
        <v>148.27679039032259</v>
      </c>
      <c r="Q29" s="74">
        <f>'Nat Gas'!Q29/Enrollment!Q29</f>
        <v>158.24879033546327</v>
      </c>
      <c r="R29" s="74">
        <f>'Nat Gas'!R29/Enrollment!R29</f>
        <v>141.13933992113564</v>
      </c>
      <c r="S29" s="74">
        <f>'Nat Gas'!S29/Enrollment!S29</f>
        <v>139.20050167224079</v>
      </c>
      <c r="T29" s="74">
        <f>'Nat Gas'!T29/Enrollment!T29</f>
        <v>196.83036303630362</v>
      </c>
      <c r="U29" s="96">
        <f>'Nat Gas'!U29/Enrollment!U29</f>
        <v>124.5518691588785</v>
      </c>
    </row>
    <row r="30" spans="2:21" ht="16">
      <c r="B30" s="188" t="s">
        <v>55</v>
      </c>
      <c r="C30" s="78">
        <v>142026.84080000001</v>
      </c>
      <c r="D30" s="78">
        <v>98849.460619999998</v>
      </c>
      <c r="E30" s="78">
        <v>107521.101337</v>
      </c>
      <c r="F30" s="78">
        <v>116594.53432999999</v>
      </c>
      <c r="G30" s="78">
        <v>122159.89023200001</v>
      </c>
      <c r="H30" s="74">
        <f>'Nat Gas'!H30/Enrollment!H30</f>
        <v>142.75507477715877</v>
      </c>
      <c r="I30" s="74">
        <f>'Nat Gas'!I30/Enrollment!I30</f>
        <v>161.55437810670315</v>
      </c>
      <c r="J30" s="74">
        <f>'Nat Gas'!J30/Enrollment!J30</f>
        <v>107.27913461589404</v>
      </c>
      <c r="K30" s="74">
        <f>'Nat Gas'!K30/Enrollment!K30</f>
        <v>146.21521388451444</v>
      </c>
      <c r="L30" s="74">
        <f>'Nat Gas'!L30/Enrollment!L30</f>
        <v>170.02063960468141</v>
      </c>
      <c r="M30" s="74">
        <f>'Nat Gas'!M30/Enrollment!M30</f>
        <v>289.39001572916669</v>
      </c>
      <c r="N30" s="74">
        <f>'Nat Gas'!N30/Enrollment!N30</f>
        <v>157.82712355855855</v>
      </c>
      <c r="O30" s="74">
        <f>'Nat Gas'!O30/Enrollment!O30</f>
        <v>145.73547601127819</v>
      </c>
      <c r="P30" s="74">
        <f>'Nat Gas'!P30/Enrollment!P30</f>
        <v>148.08018146907216</v>
      </c>
      <c r="Q30" s="74">
        <f>'Nat Gas'!Q30/Enrollment!Q30</f>
        <v>90.030924687065365</v>
      </c>
      <c r="R30" s="74">
        <f>'Nat Gas'!R30/Enrollment!R30</f>
        <v>132.25462280575539</v>
      </c>
      <c r="S30" s="74">
        <f>'Nat Gas'!S30/Enrollment!S30</f>
        <v>155.70056623563218</v>
      </c>
      <c r="T30" s="74">
        <f>'Nat Gas'!T30/Enrollment!T30</f>
        <v>192.83774928774929</v>
      </c>
      <c r="U30" s="413">
        <f>'Nat Gas'!U30/Enrollment!U30</f>
        <v>165.13529410569106</v>
      </c>
    </row>
    <row r="31" spans="2:21" ht="17" thickBot="1">
      <c r="B31" s="188" t="s">
        <v>57</v>
      </c>
      <c r="C31" s="78">
        <v>118871.85408</v>
      </c>
      <c r="D31" s="78">
        <v>92457.625209999998</v>
      </c>
      <c r="E31" s="78">
        <v>102516.34507</v>
      </c>
      <c r="F31" s="78">
        <v>102295.216596</v>
      </c>
      <c r="G31" s="78">
        <v>111983.064638</v>
      </c>
      <c r="H31" s="74">
        <f>'Nat Gas'!H31/Enrollment!H31</f>
        <v>125.24021038834952</v>
      </c>
      <c r="I31" s="74">
        <f>'Nat Gas'!I31/Enrollment!I31</f>
        <v>141.2835844536653</v>
      </c>
      <c r="J31" s="74">
        <f>'Nat Gas'!J31/Enrollment!J31</f>
        <v>111.82587961800819</v>
      </c>
      <c r="K31" s="74">
        <f>'Nat Gas'!K31/Enrollment!K31</f>
        <v>105.42104108586526</v>
      </c>
      <c r="L31" s="74">
        <f>'Nat Gas'!L31/Enrollment!L31</f>
        <v>148.70235035549524</v>
      </c>
      <c r="M31" s="74">
        <f>'Nat Gas'!M31/Enrollment!M31</f>
        <v>124.89339024525745</v>
      </c>
      <c r="N31" s="74">
        <f>'Nat Gas'!N31/Enrollment!N31</f>
        <v>99.991632905960259</v>
      </c>
      <c r="O31" s="74">
        <f>'Nat Gas'!O31/Enrollment!O31</f>
        <v>116.26120753945666</v>
      </c>
      <c r="P31" s="74">
        <f>'Nat Gas'!P31/Enrollment!P31</f>
        <v>147.18548985788112</v>
      </c>
      <c r="Q31" s="74">
        <f>'Nat Gas'!Q31/Enrollment!Q31</f>
        <v>123.44192309740259</v>
      </c>
      <c r="R31" s="74">
        <f>'Nat Gas'!R31/Enrollment!R31</f>
        <v>120.93846545308311</v>
      </c>
      <c r="S31" s="74">
        <f>'Nat Gas'!S31/Enrollment!S31</f>
        <v>117.96864655436241</v>
      </c>
      <c r="T31" s="74">
        <f>'Nat Gas'!T31/Enrollment!T31</f>
        <v>143.11907600596123</v>
      </c>
      <c r="U31" s="96">
        <f>'Nat Gas'!U31/Enrollment!U31</f>
        <v>141.77820895522387</v>
      </c>
    </row>
    <row r="32" spans="2:21" ht="16">
      <c r="B32" s="188" t="s">
        <v>68</v>
      </c>
      <c r="C32" s="83">
        <v>40572.027065000002</v>
      </c>
      <c r="D32" s="83">
        <v>30494.902054999999</v>
      </c>
      <c r="E32" s="83">
        <v>34095.178420999997</v>
      </c>
      <c r="F32" s="83">
        <v>36995.109172999997</v>
      </c>
      <c r="G32" s="83">
        <v>35004.631496000002</v>
      </c>
      <c r="H32" s="74">
        <f>'Nat Gas'!H32/Enrollment!H32</f>
        <v>229.73341709774434</v>
      </c>
      <c r="I32" s="74">
        <f>'Nat Gas'!I32/Enrollment!I32</f>
        <v>247.64209400000001</v>
      </c>
      <c r="J32" s="74">
        <f>'Nat Gas'!J32/Enrollment!J32</f>
        <v>195.58973381889766</v>
      </c>
      <c r="K32" s="74">
        <f>'Nat Gas'!K32/Enrollment!K32</f>
        <v>225.5523585982906</v>
      </c>
      <c r="L32" s="74">
        <f>'Nat Gas'!L32/Enrollment!L32</f>
        <v>271.06310265094339</v>
      </c>
      <c r="M32" s="74">
        <f>'Nat Gas'!M32/Enrollment!M32</f>
        <v>138.35754963054188</v>
      </c>
      <c r="N32" s="74">
        <f>'Nat Gas'!N32/Enrollment!N32</f>
        <v>139.32200972000001</v>
      </c>
      <c r="O32" s="74">
        <f>'Nat Gas'!O32/Enrollment!O32</f>
        <v>145.55047645806451</v>
      </c>
      <c r="P32" s="74">
        <f>'Nat Gas'!P32/Enrollment!P32</f>
        <v>205.0722730422535</v>
      </c>
      <c r="Q32" s="74">
        <f>'Nat Gas'!Q32/Enrollment!Q32</f>
        <v>329.81077269473684</v>
      </c>
      <c r="R32" s="74">
        <f>'Nat Gas'!R32/Enrollment!R32</f>
        <v>140.05231033510637</v>
      </c>
      <c r="S32" s="74">
        <f>'Nat Gas'!S32/Enrollment!S32</f>
        <v>138.86175998360656</v>
      </c>
      <c r="T32" s="74">
        <f>'Nat Gas'!T32/Enrollment!T32</f>
        <v>125.89292035398229</v>
      </c>
      <c r="U32" s="413">
        <f>'Nat Gas'!U32/Enrollment!U32</f>
        <v>124.03645320197045</v>
      </c>
    </row>
    <row r="33" spans="2:22" ht="17" thickBot="1">
      <c r="B33" s="188" t="s">
        <v>59</v>
      </c>
      <c r="C33" s="82"/>
      <c r="D33" s="82"/>
      <c r="E33" s="82"/>
      <c r="F33" s="78">
        <v>203038.9471202</v>
      </c>
      <c r="G33" s="78">
        <v>257141.293301</v>
      </c>
      <c r="H33" s="74">
        <f>'Nat Gas'!H33/Enrollment!H33</f>
        <v>122.52405490994941</v>
      </c>
      <c r="I33" s="74">
        <f>'Nat Gas'!I33/Enrollment!I33</f>
        <v>122.17778624864864</v>
      </c>
      <c r="J33" s="74">
        <f>'Nat Gas'!J33/Enrollment!J33</f>
        <v>121.81640192524938</v>
      </c>
      <c r="K33" s="74">
        <f>'Nat Gas'!K33/Enrollment!K33</f>
        <v>149.24537058044692</v>
      </c>
      <c r="L33" s="74">
        <f>'Nat Gas'!L33/Enrollment!L33</f>
        <v>155.63203483914191</v>
      </c>
      <c r="M33" s="74">
        <f>'Nat Gas'!M33/Enrollment!M33</f>
        <v>149.82836636195219</v>
      </c>
      <c r="N33" s="74">
        <f>'Nat Gas'!N33/Enrollment!N33</f>
        <v>99.887031402129494</v>
      </c>
      <c r="O33" s="74">
        <f>'Nat Gas'!O33/Enrollment!O33</f>
        <v>117.22528171853057</v>
      </c>
      <c r="P33" s="74">
        <f>'Nat Gas'!P33/Enrollment!P33</f>
        <v>104.51469538893669</v>
      </c>
      <c r="Q33" s="74">
        <f>'Nat Gas'!Q33/Enrollment!Q33</f>
        <v>90.645672596436043</v>
      </c>
      <c r="R33" s="74">
        <f>'Nat Gas'!R33/Enrollment!R33</f>
        <v>102.91368847691366</v>
      </c>
      <c r="S33" s="74">
        <f>'Nat Gas'!S33/Enrollment!S33</f>
        <v>98.391478065429808</v>
      </c>
      <c r="T33" s="74">
        <f>'Nat Gas'!T33/Enrollment!T33</f>
        <v>108.77171779141104</v>
      </c>
      <c r="U33" s="96">
        <f>'Nat Gas'!U33/Enrollment!U33</f>
        <v>85.116409376786734</v>
      </c>
    </row>
    <row r="34" spans="2:22" ht="16">
      <c r="B34" s="188" t="s">
        <v>61</v>
      </c>
      <c r="C34" s="82"/>
      <c r="D34" s="83">
        <v>268296.54488549998</v>
      </c>
      <c r="E34" s="83">
        <v>283521.54470099998</v>
      </c>
      <c r="F34" s="83">
        <v>287216.431285</v>
      </c>
      <c r="G34" s="83">
        <v>328141.10189200001</v>
      </c>
      <c r="H34" s="74">
        <f>'Nat Gas'!H34/Enrollment!H34</f>
        <v>122.00279973071838</v>
      </c>
      <c r="I34" s="74">
        <f>'Nat Gas'!I34/Enrollment!I34</f>
        <v>158.3129284539267</v>
      </c>
      <c r="J34" s="74">
        <f>'Nat Gas'!J34/Enrollment!J34</f>
        <v>148.00553251364198</v>
      </c>
      <c r="K34" s="74">
        <f>'Nat Gas'!K34/Enrollment!K34</f>
        <v>197.67198654124775</v>
      </c>
      <c r="L34" s="74">
        <f>'Nat Gas'!L34/Enrollment!L34</f>
        <v>214.62039743355868</v>
      </c>
      <c r="M34" s="74">
        <f>'Nat Gas'!M34/Enrollment!M34</f>
        <v>154.43357925702333</v>
      </c>
      <c r="N34" s="74">
        <f>'Nat Gas'!N34/Enrollment!N34</f>
        <v>134.36530422527159</v>
      </c>
      <c r="O34" s="74">
        <f>'Nat Gas'!O34/Enrollment!O34</f>
        <v>139.57447325521127</v>
      </c>
      <c r="P34" s="74">
        <f>'Nat Gas'!P34/Enrollment!P34</f>
        <v>154.10872941492866</v>
      </c>
      <c r="Q34" s="74">
        <f>'Nat Gas'!Q34/Enrollment!Q34</f>
        <v>143.53558463105611</v>
      </c>
      <c r="R34" s="74">
        <f>'Nat Gas'!R34/Enrollment!R34</f>
        <v>134.26353258444558</v>
      </c>
      <c r="S34" s="74">
        <f>'Nat Gas'!S34/Enrollment!S34</f>
        <v>132.83140378608115</v>
      </c>
      <c r="T34" s="74">
        <f>'Nat Gas'!T34/Enrollment!T34</f>
        <v>148.15667198298777</v>
      </c>
      <c r="U34" s="413">
        <f>'Nat Gas'!U34/Enrollment!U34</f>
        <v>175.58005847953217</v>
      </c>
    </row>
    <row r="35" spans="2:22" ht="17" thickBot="1">
      <c r="B35" s="188" t="s">
        <v>95</v>
      </c>
      <c r="C35" s="78">
        <v>55853.164644999997</v>
      </c>
      <c r="D35" s="78">
        <v>48245.640605000001</v>
      </c>
      <c r="E35" s="78">
        <v>47958.201624000001</v>
      </c>
      <c r="F35" s="78">
        <v>58915.712360899997</v>
      </c>
      <c r="G35" s="78">
        <v>65965.185425000003</v>
      </c>
      <c r="H35" s="74">
        <f>'Nat Gas'!H35/Enrollment!H35</f>
        <v>107.34171267692308</v>
      </c>
      <c r="I35" s="74">
        <f>'Nat Gas'!I35/Enrollment!I35</f>
        <v>106.52456206339468</v>
      </c>
      <c r="J35" s="74">
        <f>'Nat Gas'!J35/Enrollment!J35</f>
        <v>62.275745589727464</v>
      </c>
      <c r="K35" s="74">
        <f>'Nat Gas'!K35/Enrollment!K35</f>
        <v>65.618013854122623</v>
      </c>
      <c r="L35" s="74">
        <f>'Nat Gas'!L35/Enrollment!L35</f>
        <v>68.840677282921817</v>
      </c>
      <c r="M35" s="74">
        <f>'Nat Gas'!M35/Enrollment!M35</f>
        <v>52.282256838574426</v>
      </c>
      <c r="N35" s="74">
        <f>'Nat Gas'!N35/Enrollment!N35</f>
        <v>53.915199243108617</v>
      </c>
      <c r="O35" s="74">
        <f>'Nat Gas'!O35/Enrollment!O35</f>
        <v>52.712360468563432</v>
      </c>
      <c r="P35" s="74">
        <f>'Nat Gas'!P35/Enrollment!P35</f>
        <v>66.028500353571431</v>
      </c>
      <c r="Q35" s="74">
        <f>'Nat Gas'!Q35/Enrollment!Q35</f>
        <v>74.280859811301895</v>
      </c>
      <c r="R35" s="74">
        <f>'Nat Gas'!R35/Enrollment!R35</f>
        <v>62.619063339587242</v>
      </c>
      <c r="S35" s="74">
        <f>'Nat Gas'!S35/Enrollment!S35</f>
        <v>60.306140651145036</v>
      </c>
      <c r="T35" s="74">
        <f>'Nat Gas'!T35/Enrollment!T35</f>
        <v>53.610617760617757</v>
      </c>
      <c r="U35" s="96">
        <f>'Nat Gas'!U35/Enrollment!U35</f>
        <v>49.237499999999997</v>
      </c>
    </row>
    <row r="36" spans="2:22" ht="16">
      <c r="B36" s="188" t="s">
        <v>65</v>
      </c>
      <c r="C36" s="70" t="s">
        <v>98</v>
      </c>
      <c r="D36" s="70"/>
      <c r="E36" s="70"/>
      <c r="F36" s="70"/>
      <c r="G36" s="71"/>
      <c r="H36" s="74">
        <f>'Nat Gas'!H36/Enrollment!H36</f>
        <v>31.198366486175118</v>
      </c>
      <c r="I36" s="74">
        <f>'Nat Gas'!I36/Enrollment!I36</f>
        <v>23.746613346905537</v>
      </c>
      <c r="J36" s="74">
        <f>'Nat Gas'!J36/Enrollment!J36</f>
        <v>16.675749067629681</v>
      </c>
      <c r="K36" s="74">
        <f>'Nat Gas'!K36/Enrollment!K36</f>
        <v>24.628954470353101</v>
      </c>
      <c r="L36" s="74">
        <f>'Nat Gas'!L36/Enrollment!L36</f>
        <v>23.322196075342465</v>
      </c>
      <c r="M36" s="74">
        <f>'Nat Gas'!M36/Enrollment!M36</f>
        <v>21.344652952512043</v>
      </c>
      <c r="N36" s="74">
        <f>'Nat Gas'!N36/Enrollment!N36</f>
        <v>21.0845909202454</v>
      </c>
      <c r="O36" s="74">
        <f>'Nat Gas'!O36/Enrollment!O36</f>
        <v>21.350379232309745</v>
      </c>
      <c r="P36" s="74">
        <f>'Nat Gas'!P36/Enrollment!P36</f>
        <v>20.005555604321405</v>
      </c>
      <c r="Q36" s="74">
        <f>'Nat Gas'!Q36/Enrollment!Q36</f>
        <v>23.434259035812673</v>
      </c>
      <c r="R36" s="74">
        <f>'Nat Gas'!R36/Enrollment!R36</f>
        <v>26.551207806451611</v>
      </c>
      <c r="S36" s="74">
        <f>'Nat Gas'!S36/Enrollment!S36</f>
        <v>27.673682979797977</v>
      </c>
      <c r="T36" s="74">
        <f>'Nat Gas'!T36/Enrollment!T36</f>
        <v>43.388066465256799</v>
      </c>
      <c r="U36" s="413">
        <f>'Nat Gas'!U36/Enrollment!U36</f>
        <v>34.642813455657496</v>
      </c>
    </row>
    <row r="37" spans="2:22" ht="16">
      <c r="B37" s="188" t="s">
        <v>5</v>
      </c>
      <c r="C37" s="78">
        <v>20859.633543</v>
      </c>
      <c r="D37" s="78">
        <v>17270.184745999999</v>
      </c>
      <c r="E37" s="78">
        <v>20010.838710399999</v>
      </c>
      <c r="F37" s="78">
        <v>18225.6523012</v>
      </c>
      <c r="G37" s="78">
        <v>19112.9597808</v>
      </c>
      <c r="H37" s="77" t="s">
        <v>253</v>
      </c>
      <c r="I37" s="77" t="s">
        <v>253</v>
      </c>
      <c r="J37" s="77" t="s">
        <v>253</v>
      </c>
      <c r="K37" s="77" t="s">
        <v>253</v>
      </c>
      <c r="L37" s="77" t="s">
        <v>253</v>
      </c>
      <c r="M37" s="77" t="s">
        <v>253</v>
      </c>
      <c r="N37" s="77" t="s">
        <v>253</v>
      </c>
      <c r="O37" s="77" t="s">
        <v>253</v>
      </c>
      <c r="P37" s="77" t="s">
        <v>253</v>
      </c>
      <c r="Q37" s="77" t="s">
        <v>253</v>
      </c>
      <c r="R37" s="77" t="s">
        <v>253</v>
      </c>
      <c r="S37" s="77" t="s">
        <v>253</v>
      </c>
      <c r="T37" s="77" t="s">
        <v>253</v>
      </c>
      <c r="U37" s="411" t="s">
        <v>253</v>
      </c>
    </row>
    <row r="38" spans="2:22" ht="17" thickBot="1">
      <c r="B38" s="317" t="s">
        <v>48</v>
      </c>
      <c r="C38" s="89">
        <v>18129.440607500001</v>
      </c>
      <c r="D38" s="89">
        <v>13016.550653599999</v>
      </c>
      <c r="E38" s="89">
        <v>14956.3264762</v>
      </c>
      <c r="F38" s="89">
        <v>16973.324908099999</v>
      </c>
      <c r="G38" s="89">
        <v>17819.888159999999</v>
      </c>
      <c r="H38" s="77" t="s">
        <v>253</v>
      </c>
      <c r="I38" s="77" t="s">
        <v>253</v>
      </c>
      <c r="J38" s="77" t="s">
        <v>253</v>
      </c>
      <c r="K38" s="77" t="s">
        <v>253</v>
      </c>
      <c r="L38" s="77" t="s">
        <v>253</v>
      </c>
      <c r="M38" s="77" t="s">
        <v>253</v>
      </c>
      <c r="N38" s="77" t="s">
        <v>253</v>
      </c>
      <c r="O38" s="77" t="s">
        <v>253</v>
      </c>
      <c r="P38" s="77" t="s">
        <v>253</v>
      </c>
      <c r="Q38" s="77" t="s">
        <v>253</v>
      </c>
      <c r="R38" s="77" t="s">
        <v>253</v>
      </c>
      <c r="S38" s="77" t="s">
        <v>253</v>
      </c>
      <c r="T38" s="77" t="s">
        <v>253</v>
      </c>
      <c r="U38" s="411" t="s">
        <v>253</v>
      </c>
    </row>
    <row r="39" spans="2:22" ht="17" thickBot="1">
      <c r="B39" s="254" t="s">
        <v>103</v>
      </c>
      <c r="C39" s="255">
        <v>6845</v>
      </c>
      <c r="D39" s="255">
        <v>6191</v>
      </c>
      <c r="E39" s="255">
        <v>6530</v>
      </c>
      <c r="F39" s="255">
        <v>6571</v>
      </c>
      <c r="G39" s="255">
        <v>6868</v>
      </c>
      <c r="H39" s="260">
        <v>6254</v>
      </c>
      <c r="I39" s="260">
        <v>6861</v>
      </c>
      <c r="J39" s="260">
        <v>5466</v>
      </c>
      <c r="K39" s="260">
        <v>6532</v>
      </c>
      <c r="L39" s="260">
        <v>7487</v>
      </c>
      <c r="M39" s="260">
        <v>7136</v>
      </c>
      <c r="N39" s="260">
        <v>5814</v>
      </c>
      <c r="O39" s="260">
        <v>5832</v>
      </c>
      <c r="P39" s="260">
        <v>6701</v>
      </c>
      <c r="Q39" s="260">
        <v>6808</v>
      </c>
      <c r="R39" s="260">
        <v>6307</v>
      </c>
      <c r="S39" s="260">
        <v>6287</v>
      </c>
      <c r="T39" s="260">
        <v>6374</v>
      </c>
      <c r="U39" s="261">
        <v>6101</v>
      </c>
      <c r="V39" t="s">
        <v>135</v>
      </c>
    </row>
    <row r="40" spans="2:22">
      <c r="B40" s="19"/>
      <c r="C40" s="56"/>
      <c r="D40" s="56"/>
      <c r="E40" s="56"/>
      <c r="F40" s="56"/>
      <c r="G40" s="56"/>
      <c r="H40" s="56"/>
      <c r="I40" s="56"/>
      <c r="J40" s="56"/>
      <c r="K40" s="56"/>
      <c r="L40" s="56"/>
      <c r="M40" s="56"/>
      <c r="N40" s="56"/>
      <c r="O40" s="56"/>
      <c r="P40" s="56"/>
      <c r="Q40" s="56"/>
      <c r="R40" s="56"/>
      <c r="S40" s="56"/>
      <c r="T40" s="56"/>
    </row>
    <row r="41" spans="2:22">
      <c r="B41" s="19"/>
      <c r="C41" s="56"/>
      <c r="D41" s="56"/>
      <c r="E41" s="56"/>
      <c r="F41" s="56"/>
      <c r="G41" s="56"/>
      <c r="H41" s="56"/>
      <c r="I41" s="56"/>
      <c r="J41" s="56"/>
      <c r="K41" s="56"/>
      <c r="L41" s="56"/>
      <c r="M41" s="56"/>
      <c r="N41" s="56"/>
      <c r="O41" s="56"/>
      <c r="P41" s="56"/>
      <c r="Q41" s="56"/>
      <c r="R41" s="56"/>
      <c r="S41" s="56"/>
      <c r="T41" s="56"/>
    </row>
    <row r="42" spans="2:22">
      <c r="C42" s="280"/>
      <c r="D42" s="280"/>
      <c r="E42" s="280"/>
      <c r="F42" s="280"/>
      <c r="G42" s="280"/>
      <c r="H42" s="280"/>
      <c r="I42" s="280"/>
      <c r="J42" s="280"/>
      <c r="K42" s="280"/>
      <c r="L42" s="280"/>
      <c r="M42" s="280"/>
      <c r="N42" s="280"/>
      <c r="O42" s="280"/>
      <c r="P42" s="280"/>
      <c r="Q42" s="280"/>
      <c r="R42" s="280"/>
      <c r="S42" s="280"/>
      <c r="T42" s="280"/>
    </row>
    <row r="43" spans="2:22">
      <c r="B43" s="19"/>
      <c r="C43" s="281"/>
      <c r="D43" s="281"/>
      <c r="E43" s="281"/>
      <c r="F43" s="281"/>
      <c r="G43" s="281"/>
      <c r="H43" s="281"/>
      <c r="I43" s="281"/>
      <c r="J43" s="281"/>
      <c r="K43" s="281"/>
      <c r="L43" s="281"/>
      <c r="M43" s="281"/>
      <c r="N43" s="281"/>
      <c r="O43" s="281"/>
      <c r="P43" s="281"/>
      <c r="Q43" s="281"/>
      <c r="R43" s="281"/>
      <c r="S43" s="281"/>
      <c r="T43" s="281"/>
    </row>
    <row r="44" spans="2:22">
      <c r="B44" s="19"/>
      <c r="C44" s="281"/>
      <c r="D44" s="281"/>
      <c r="E44" s="281"/>
      <c r="F44" s="281"/>
      <c r="G44" s="281"/>
      <c r="H44" s="281"/>
      <c r="I44" s="281"/>
      <c r="J44" s="281"/>
      <c r="K44" s="281"/>
      <c r="L44" s="281"/>
      <c r="M44" s="281"/>
      <c r="N44" s="281"/>
      <c r="O44" s="281"/>
      <c r="P44" s="281"/>
      <c r="Q44" s="281"/>
      <c r="R44" s="281"/>
      <c r="S44" s="281"/>
      <c r="T44" s="281"/>
    </row>
    <row r="45" spans="2:22">
      <c r="B45" s="19"/>
      <c r="C45" s="30"/>
      <c r="D45" s="30"/>
      <c r="E45" s="30"/>
      <c r="F45" s="30"/>
      <c r="G45" s="30"/>
      <c r="H45" s="30"/>
      <c r="I45" s="30"/>
      <c r="J45" s="30"/>
      <c r="K45" s="30"/>
      <c r="L45" s="30"/>
      <c r="M45" s="30"/>
      <c r="N45" s="30"/>
      <c r="O45" s="30"/>
      <c r="P45" s="30"/>
      <c r="Q45" s="30"/>
      <c r="R45" s="30"/>
      <c r="S45" s="30"/>
      <c r="T45" s="30"/>
    </row>
    <row r="46" spans="2:22">
      <c r="B46" s="19"/>
      <c r="C46" s="282"/>
      <c r="D46" s="282"/>
      <c r="E46" s="282"/>
      <c r="F46" s="282"/>
      <c r="G46" s="282"/>
      <c r="H46" s="282"/>
      <c r="I46" s="282"/>
      <c r="J46" s="282"/>
      <c r="K46" s="282"/>
      <c r="L46" s="282"/>
      <c r="M46" s="282"/>
      <c r="N46" s="282"/>
      <c r="O46" s="282"/>
      <c r="P46" s="282"/>
      <c r="Q46" s="282"/>
      <c r="R46" s="282"/>
      <c r="S46" s="282"/>
      <c r="T46" s="282"/>
    </row>
    <row r="51" spans="8:20">
      <c r="H51" s="281"/>
      <c r="I51" s="281"/>
      <c r="J51" s="281"/>
      <c r="K51" s="281"/>
      <c r="L51" s="281"/>
      <c r="M51" s="281"/>
      <c r="N51" s="281"/>
      <c r="O51" s="281"/>
      <c r="P51" s="281"/>
      <c r="Q51" s="281"/>
      <c r="R51" s="281"/>
      <c r="S51" s="281"/>
      <c r="T51" s="281"/>
    </row>
  </sheetData>
  <mergeCells count="2">
    <mergeCell ref="B2:I2"/>
    <mergeCell ref="H26:J26"/>
  </mergeCells>
  <conditionalFormatting sqref="H46:R46">
    <cfRule type="colorScale" priority="10">
      <colorScale>
        <cfvo type="min"/>
        <cfvo type="percentile" val="50"/>
        <cfvo type="max"/>
        <color rgb="FF63BE7B"/>
        <color rgb="FFFFEB84"/>
        <color rgb="FFF8696B"/>
      </colorScale>
    </cfRule>
  </conditionalFormatting>
  <conditionalFormatting sqref="H43:R43">
    <cfRule type="colorScale" priority="9">
      <colorScale>
        <cfvo type="min"/>
        <cfvo type="percentile" val="50"/>
        <cfvo type="max"/>
        <color rgb="FF63BE7B"/>
        <color rgb="FFFFEB84"/>
        <color rgb="FFF8696B"/>
      </colorScale>
    </cfRule>
  </conditionalFormatting>
  <conditionalFormatting sqref="S46:T46">
    <cfRule type="colorScale" priority="7">
      <colorScale>
        <cfvo type="min"/>
        <cfvo type="percentile" val="50"/>
        <cfvo type="max"/>
        <color rgb="FF63BE7B"/>
        <color rgb="FFFFEB84"/>
        <color rgb="FFF8696B"/>
      </colorScale>
    </cfRule>
  </conditionalFormatting>
  <conditionalFormatting sqref="H46:T46">
    <cfRule type="colorScale" priority="6">
      <colorScale>
        <cfvo type="min"/>
        <cfvo type="percentile" val="50"/>
        <cfvo type="max"/>
        <color rgb="FF63BE7B"/>
        <color rgb="FFFFEB84"/>
        <color rgb="FFF8696B"/>
      </colorScale>
    </cfRule>
  </conditionalFormatting>
  <conditionalFormatting sqref="H43:T43">
    <cfRule type="colorScale" priority="5">
      <colorScale>
        <cfvo type="min"/>
        <cfvo type="percentile" val="50"/>
        <cfvo type="max"/>
        <color rgb="FF63BE7B"/>
        <color rgb="FFFFEB84"/>
        <color rgb="FFF8696B"/>
      </colorScale>
    </cfRule>
  </conditionalFormatting>
  <conditionalFormatting sqref="H39:T41 U39">
    <cfRule type="colorScale" priority="235">
      <colorScale>
        <cfvo type="min"/>
        <cfvo type="percentile" val="50"/>
        <cfvo type="max"/>
        <color rgb="FF63BE7B"/>
        <color rgb="FFFFEB84"/>
        <color rgb="FFF8696B"/>
      </colorScale>
    </cfRule>
  </conditionalFormatting>
  <conditionalFormatting sqref="H14:U15 H27:T36 H4:U12 H16:T25 U16:U36">
    <cfRule type="colorScale" priority="237">
      <colorScale>
        <cfvo type="min"/>
        <cfvo type="percentile" val="50"/>
        <cfvo type="max"/>
        <color rgb="FF63BE7B"/>
        <color rgb="FFFFEB84"/>
        <color rgb="FFF8696B"/>
      </colorScale>
    </cfRule>
  </conditionalFormatting>
  <pageMargins left="0.7" right="0.7" top="0.75" bottom="0.75" header="0.3" footer="0.3"/>
  <pageSetup scale="48"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C90B9-6C29-449E-9CB2-7AD2006C9EED}">
  <sheetPr>
    <pageSetUpPr fitToPage="1"/>
  </sheetPr>
  <dimension ref="B1:Y51"/>
  <sheetViews>
    <sheetView zoomScale="85" zoomScaleNormal="85" workbookViewId="0">
      <selection activeCell="W40" sqref="W40"/>
    </sheetView>
  </sheetViews>
  <sheetFormatPr baseColWidth="10" defaultColWidth="8.6640625" defaultRowHeight="15"/>
  <cols>
    <col min="1" max="1" width="4.6640625" customWidth="1"/>
    <col min="2" max="2" width="40.5" customWidth="1"/>
    <col min="3" max="7" width="13.33203125" hidden="1" customWidth="1"/>
    <col min="8" max="13" width="13.33203125" customWidth="1"/>
    <col min="14" max="18" width="14.6640625" customWidth="1"/>
    <col min="19" max="19" width="14.6640625" bestFit="1" customWidth="1"/>
    <col min="20" max="20" width="13.5" customWidth="1"/>
    <col min="21" max="21" width="0" hidden="1" customWidth="1"/>
    <col min="22" max="22" width="22.6640625" hidden="1" customWidth="1"/>
    <col min="23" max="23" width="11" customWidth="1"/>
    <col min="25" max="35" width="0" hidden="1" customWidth="1"/>
  </cols>
  <sheetData>
    <row r="1" spans="2:23" ht="16" thickBot="1"/>
    <row r="2" spans="2:23" ht="48" customHeight="1" thickBot="1">
      <c r="B2" s="679" t="s">
        <v>283</v>
      </c>
      <c r="C2" s="680"/>
      <c r="D2" s="680"/>
      <c r="E2" s="680"/>
      <c r="F2" s="680"/>
      <c r="G2" s="680"/>
      <c r="H2" s="680"/>
      <c r="I2" s="681"/>
      <c r="J2" s="290"/>
      <c r="K2" s="194"/>
      <c r="L2" s="194"/>
      <c r="M2" s="194"/>
      <c r="N2" s="194"/>
      <c r="O2" s="194"/>
      <c r="P2" s="194"/>
      <c r="Q2" s="194"/>
      <c r="R2" s="194"/>
      <c r="S2" s="252" t="s">
        <v>264</v>
      </c>
      <c r="T2" s="253" t="s">
        <v>162</v>
      </c>
      <c r="U2" s="253" t="s">
        <v>162</v>
      </c>
      <c r="V2" s="537" t="s">
        <v>162</v>
      </c>
      <c r="W2" s="253"/>
    </row>
    <row r="3" spans="2:23" ht="22" thickBot="1">
      <c r="B3" s="291" t="s">
        <v>90</v>
      </c>
      <c r="C3" s="292">
        <v>2005</v>
      </c>
      <c r="D3" s="292">
        <f>C3+1</f>
        <v>2006</v>
      </c>
      <c r="E3" s="292">
        <f t="shared" ref="E3:T3" si="0">D3+1</f>
        <v>2007</v>
      </c>
      <c r="F3" s="292">
        <f t="shared" si="0"/>
        <v>2008</v>
      </c>
      <c r="G3" s="292">
        <f t="shared" si="0"/>
        <v>2009</v>
      </c>
      <c r="H3" s="292">
        <f t="shared" si="0"/>
        <v>2010</v>
      </c>
      <c r="I3" s="292">
        <f t="shared" si="0"/>
        <v>2011</v>
      </c>
      <c r="J3" s="292">
        <f t="shared" si="0"/>
        <v>2012</v>
      </c>
      <c r="K3" s="292">
        <f t="shared" si="0"/>
        <v>2013</v>
      </c>
      <c r="L3" s="292">
        <f t="shared" si="0"/>
        <v>2014</v>
      </c>
      <c r="M3" s="292">
        <f t="shared" si="0"/>
        <v>2015</v>
      </c>
      <c r="N3" s="292">
        <f t="shared" si="0"/>
        <v>2016</v>
      </c>
      <c r="O3" s="292">
        <f t="shared" si="0"/>
        <v>2017</v>
      </c>
      <c r="P3" s="292">
        <f t="shared" si="0"/>
        <v>2018</v>
      </c>
      <c r="Q3" s="292">
        <f t="shared" si="0"/>
        <v>2019</v>
      </c>
      <c r="R3" s="292">
        <f t="shared" si="0"/>
        <v>2020</v>
      </c>
      <c r="S3" s="292">
        <f t="shared" si="0"/>
        <v>2021</v>
      </c>
      <c r="T3" s="293">
        <f t="shared" si="0"/>
        <v>2022</v>
      </c>
      <c r="U3" s="293">
        <f>T3+1</f>
        <v>2023</v>
      </c>
      <c r="V3" s="538">
        <f>U3+1</f>
        <v>2024</v>
      </c>
      <c r="W3" s="293">
        <v>2023</v>
      </c>
    </row>
    <row r="4" spans="2:23" ht="17" thickBot="1">
      <c r="B4" s="313" t="s">
        <v>1</v>
      </c>
      <c r="C4" s="314" t="s">
        <v>99</v>
      </c>
      <c r="D4" s="314"/>
      <c r="E4" s="318">
        <v>22202</v>
      </c>
      <c r="F4" s="318">
        <v>22202</v>
      </c>
      <c r="G4" s="318">
        <v>22202</v>
      </c>
      <c r="H4" s="319">
        <f>('Nat Gas'!H4/SF!H4)*1000</f>
        <v>379.84602224123182</v>
      </c>
      <c r="I4" s="319">
        <f>('Nat Gas'!I4/SF!I4)*1000</f>
        <v>379.84602224123182</v>
      </c>
      <c r="J4" s="319">
        <f>('Nat Gas'!J4/SF!J4)*1000</f>
        <v>379.84602224123182</v>
      </c>
      <c r="K4" s="319">
        <f>('Nat Gas'!K4/SF!K4)*1000</f>
        <v>379.84602224123182</v>
      </c>
      <c r="L4" s="319">
        <f>('Nat Gas'!L4/SF!L4)*1000</f>
        <v>379.84602224123182</v>
      </c>
      <c r="M4" s="319">
        <f>('Nat Gas'!M4/SF!M4)*1000</f>
        <v>379.84602224123182</v>
      </c>
      <c r="N4" s="319">
        <f>('Nat Gas'!N4/SF!N4)*1000</f>
        <v>284.65308547476474</v>
      </c>
      <c r="O4" s="319">
        <f>('Nat Gas'!O4/SF!O4)*1000</f>
        <v>343.6713905047049</v>
      </c>
      <c r="P4" s="319">
        <f>('Nat Gas'!P4/SF!P4)*1000</f>
        <v>412.8399222241232</v>
      </c>
      <c r="Q4" s="319">
        <f>('Nat Gas'!Q4/SF!Q4)*1000</f>
        <v>378.96974189905904</v>
      </c>
      <c r="R4" s="319">
        <f>('Nat Gas'!R4/SF!R4)*1000</f>
        <v>386.31768776732252</v>
      </c>
      <c r="S4" s="319">
        <f>('Nat Gas'!S4/SF!S4)*1000</f>
        <v>377.4379544568007</v>
      </c>
      <c r="T4" s="319">
        <f>('Nat Gas'!T4/SF!T4)*1000</f>
        <v>439.71599657827204</v>
      </c>
      <c r="U4" s="319" t="e">
        <f>('Nat Gas'!#REF!/SF!U4)*1000</f>
        <v>#REF!</v>
      </c>
      <c r="V4" s="319" t="e">
        <f>('Nat Gas'!#REF!/SF!V4)*1000</f>
        <v>#REF!</v>
      </c>
      <c r="W4" s="413">
        <f>('Nat Gas'!U4/SF!U4)*1000</f>
        <v>953.64209610784951</v>
      </c>
    </row>
    <row r="5" spans="2:23" ht="17" thickBot="1">
      <c r="B5" s="188" t="s">
        <v>265</v>
      </c>
      <c r="C5" s="78">
        <v>29392.907316000001</v>
      </c>
      <c r="D5" s="78">
        <v>25245.4692899</v>
      </c>
      <c r="E5" s="78">
        <v>23567.7629867</v>
      </c>
      <c r="F5" s="78">
        <v>24301.17438909</v>
      </c>
      <c r="G5" s="78">
        <v>24710.197203</v>
      </c>
      <c r="H5" s="319">
        <f>('Nat Gas'!H5/SF!H5)*1000</f>
        <v>414.01862931299155</v>
      </c>
      <c r="I5" s="319">
        <f>('Nat Gas'!I5/SF!I5)*1000</f>
        <v>439.37062069553684</v>
      </c>
      <c r="J5" s="319">
        <f>('Nat Gas'!J5/SF!J5)*1000</f>
        <v>296.86391806690045</v>
      </c>
      <c r="K5" s="319">
        <f>('Nat Gas'!K5/SF!K5)*1000</f>
        <v>348.88592366303419</v>
      </c>
      <c r="L5" s="319">
        <f>('Nat Gas'!L5/SF!L5)*1000</f>
        <v>525.89580155406043</v>
      </c>
      <c r="M5" s="319">
        <f>('Nat Gas'!M5/SF!M5)*1000</f>
        <v>440.8410746290154</v>
      </c>
      <c r="N5" s="319">
        <f>('Nat Gas'!N5/SF!N5)*1000</f>
        <v>422.26854031839287</v>
      </c>
      <c r="O5" s="319">
        <f>('Nat Gas'!O5/SF!O5)*1000</f>
        <v>436.45831054676393</v>
      </c>
      <c r="P5" s="319">
        <f>('Nat Gas'!P5/SF!P5)*1000</f>
        <v>436.16913785653367</v>
      </c>
      <c r="Q5" s="319">
        <f>('Nat Gas'!Q5/SF!Q5)*1000</f>
        <v>499.35368816450301</v>
      </c>
      <c r="R5" s="319">
        <f>('Nat Gas'!R5/SF!R5)*1000</f>
        <v>415.49026072206954</v>
      </c>
      <c r="S5" s="319">
        <f>('Nat Gas'!S5/SF!S5)*1000</f>
        <v>412.81250110868945</v>
      </c>
      <c r="T5" s="319">
        <f>('Nat Gas'!T5/SF!T5)*1000</f>
        <v>488.69326257936137</v>
      </c>
      <c r="U5" s="319" t="e">
        <f>('Nat Gas'!#REF!/SF!U5)*1000</f>
        <v>#REF!</v>
      </c>
      <c r="V5" s="319" t="e">
        <f>('Nat Gas'!#REF!/SF!V5)*1000</f>
        <v>#REF!</v>
      </c>
      <c r="W5" s="413">
        <f>('Nat Gas'!U5/SF!U5)*1000</f>
        <v>405.34634701032877</v>
      </c>
    </row>
    <row r="6" spans="2:23" ht="17" thickBot="1">
      <c r="B6" s="188" t="s">
        <v>7</v>
      </c>
      <c r="C6" s="78">
        <v>26958.707091</v>
      </c>
      <c r="D6" s="78">
        <v>22368.64675</v>
      </c>
      <c r="E6" s="78">
        <v>35981.860355999997</v>
      </c>
      <c r="F6" s="78">
        <v>31147.881701999999</v>
      </c>
      <c r="G6" s="78">
        <v>32013.69788</v>
      </c>
      <c r="H6" s="319">
        <f>('Nat Gas'!H6/SF!H6)*1000</f>
        <v>410.47898822413896</v>
      </c>
      <c r="I6" s="319">
        <f>('Nat Gas'!I6/SF!I6)*1000</f>
        <v>466.48412064904875</v>
      </c>
      <c r="J6" s="319">
        <f>('Nat Gas'!J6/SF!J6)*1000</f>
        <v>362.63019261944089</v>
      </c>
      <c r="K6" s="319">
        <f>('Nat Gas'!K6/SF!K6)*1000</f>
        <v>427.58660621214904</v>
      </c>
      <c r="L6" s="319">
        <f>('Nat Gas'!L6/SF!L6)*1000</f>
        <v>532.4641059062825</v>
      </c>
      <c r="M6" s="319">
        <f>('Nat Gas'!M6/SF!M6)*1000</f>
        <v>435.16935240411084</v>
      </c>
      <c r="N6" s="319">
        <f>('Nat Gas'!N6/SF!N6)*1000</f>
        <v>412.53971877102833</v>
      </c>
      <c r="O6" s="319">
        <f>('Nat Gas'!O6/SF!O6)*1000</f>
        <v>473.29872544503576</v>
      </c>
      <c r="P6" s="319">
        <f>('Nat Gas'!P6/SF!P6)*1000</f>
        <v>592.56884579739403</v>
      </c>
      <c r="Q6" s="319">
        <f>('Nat Gas'!Q6/SF!Q6)*1000</f>
        <v>628.61948078240653</v>
      </c>
      <c r="R6" s="319">
        <f>('Nat Gas'!R6/SF!R6)*1000</f>
        <v>538.52163450480214</v>
      </c>
      <c r="S6" s="319">
        <f>('Nat Gas'!S6/SF!S6)*1000</f>
        <v>496.88650096347953</v>
      </c>
      <c r="T6" s="319">
        <f>('Nat Gas'!T6/SF!T6)*1000</f>
        <v>676.11794213005453</v>
      </c>
      <c r="U6" s="319" t="e">
        <f>('Nat Gas'!#REF!/SF!U6)*1000</f>
        <v>#REF!</v>
      </c>
      <c r="V6" s="319" t="e">
        <f>('Nat Gas'!#REF!/SF!V6)*1000</f>
        <v>#REF!</v>
      </c>
      <c r="W6" s="413">
        <f>('Nat Gas'!U6/SF!U6)*1000</f>
        <v>499.71554413653882</v>
      </c>
    </row>
    <row r="7" spans="2:23" ht="17" thickBot="1">
      <c r="B7" s="188" t="s">
        <v>9</v>
      </c>
      <c r="C7" s="78">
        <v>41260.515135000001</v>
      </c>
      <c r="D7" s="78">
        <v>25824.792118000001</v>
      </c>
      <c r="E7" s="78">
        <v>30528.459105950002</v>
      </c>
      <c r="F7" s="78">
        <v>33688.39256</v>
      </c>
      <c r="G7" s="78">
        <v>32236.799940000001</v>
      </c>
      <c r="H7" s="319">
        <f>('Nat Gas'!H7/SF!H7)*1000</f>
        <v>868.3434305630899</v>
      </c>
      <c r="I7" s="319">
        <f>('Nat Gas'!I7/SF!I7)*1000</f>
        <v>963.79893663881955</v>
      </c>
      <c r="J7" s="319">
        <f>('Nat Gas'!J7/SF!J7)*1000</f>
        <v>787.08813876532486</v>
      </c>
      <c r="K7" s="319">
        <f>('Nat Gas'!K7/SF!K7)*1000</f>
        <v>927.77909812032112</v>
      </c>
      <c r="L7" s="319">
        <f>('Nat Gas'!L7/SF!L7)*1000</f>
        <v>894.3057833676902</v>
      </c>
      <c r="M7" s="319">
        <f>('Nat Gas'!M7/SF!M7)*1000</f>
        <v>924.12148936747315</v>
      </c>
      <c r="N7" s="319">
        <f>('Nat Gas'!N7/SF!N7)*1000</f>
        <v>613.21230451882388</v>
      </c>
      <c r="O7" s="319">
        <f>('Nat Gas'!O7/SF!O7)*1000</f>
        <v>697.58983226103942</v>
      </c>
      <c r="P7" s="319">
        <f>('Nat Gas'!P7/SF!P7)*1000</f>
        <v>712.172336877509</v>
      </c>
      <c r="Q7" s="319">
        <f>('Nat Gas'!Q7/SF!Q7)*1000</f>
        <v>812.13396983834218</v>
      </c>
      <c r="R7" s="319">
        <f>('Nat Gas'!R7/SF!R7)*1000</f>
        <v>829.08188293370938</v>
      </c>
      <c r="S7" s="319">
        <f>('Nat Gas'!S7/SF!S7)*1000</f>
        <v>701.40239096235211</v>
      </c>
      <c r="T7" s="319">
        <f>('Nat Gas'!T7/SF!T7)*1000</f>
        <v>1338.2147119453184</v>
      </c>
      <c r="U7" s="319" t="e">
        <f>('Nat Gas'!#REF!/SF!U7)*1000</f>
        <v>#REF!</v>
      </c>
      <c r="V7" s="319" t="e">
        <f>('Nat Gas'!#REF!/SF!V7)*1000</f>
        <v>#REF!</v>
      </c>
      <c r="W7" s="413">
        <f>('Nat Gas'!U7/SF!U7)*1000</f>
        <v>933.99696213518496</v>
      </c>
    </row>
    <row r="8" spans="2:23" ht="17" thickBot="1">
      <c r="B8" s="188" t="s">
        <v>11</v>
      </c>
      <c r="C8" s="78">
        <v>55185.231740000003</v>
      </c>
      <c r="D8" s="78">
        <v>41791.779736700002</v>
      </c>
      <c r="E8" s="78">
        <v>46352.603891010003</v>
      </c>
      <c r="F8" s="78">
        <v>40636.004618500003</v>
      </c>
      <c r="G8" s="78">
        <v>31124.459655999999</v>
      </c>
      <c r="H8" s="319">
        <f>('Nat Gas'!H8/SF!H8)*1000</f>
        <v>689.09146935392732</v>
      </c>
      <c r="I8" s="319">
        <f>('Nat Gas'!I8/SF!I8)*1000</f>
        <v>568.05053608965909</v>
      </c>
      <c r="J8" s="319">
        <f>('Nat Gas'!J8/SF!J8)*1000</f>
        <v>425.57488418911282</v>
      </c>
      <c r="K8" s="319">
        <f>('Nat Gas'!K8/SF!K8)*1000</f>
        <v>425.74742662177437</v>
      </c>
      <c r="L8" s="319">
        <f>('Nat Gas'!L8/SF!L8)*1000</f>
        <v>522.86436956677335</v>
      </c>
      <c r="M8" s="319">
        <f>('Nat Gas'!M8/SF!M8)*1000</f>
        <v>580.12329378414006</v>
      </c>
      <c r="N8" s="319">
        <f>('Nat Gas'!N8/SF!N8)*1000</f>
        <v>425.70107953098511</v>
      </c>
      <c r="O8" s="319">
        <f>('Nat Gas'!O8/SF!O8)*1000</f>
        <v>366.42984522508942</v>
      </c>
      <c r="P8" s="319">
        <f>('Nat Gas'!P8/SF!P8)*1000</f>
        <v>468.56825289131666</v>
      </c>
      <c r="Q8" s="319">
        <f>('Nat Gas'!Q8/SF!Q8)*1000</f>
        <v>518.643097170842</v>
      </c>
      <c r="R8" s="319">
        <f>('Nat Gas'!R8/SF!R8)*1000</f>
        <v>452.00814274816349</v>
      </c>
      <c r="S8" s="319">
        <f>('Nat Gas'!S8/SF!S8)*1000</f>
        <v>475.74010378602372</v>
      </c>
      <c r="T8" s="319">
        <f>('Nat Gas'!T8/SF!T8)*1000</f>
        <v>597.66622716142388</v>
      </c>
      <c r="U8" s="319" t="e">
        <f>('Nat Gas'!#REF!/SF!U8)*1000</f>
        <v>#REF!</v>
      </c>
      <c r="V8" s="319" t="e">
        <f>('Nat Gas'!#REF!/SF!V8)*1000</f>
        <v>#REF!</v>
      </c>
      <c r="W8" s="413">
        <f>('Nat Gas'!U8/SF!U8)*1000</f>
        <v>486.13674891693353</v>
      </c>
    </row>
    <row r="9" spans="2:23" ht="17" thickBot="1">
      <c r="B9" s="188" t="s">
        <v>13</v>
      </c>
      <c r="C9" s="78">
        <v>15868.224007999999</v>
      </c>
      <c r="D9" s="78">
        <v>10499.5081001</v>
      </c>
      <c r="E9" s="78">
        <v>14652.888534600001</v>
      </c>
      <c r="F9" s="78">
        <v>16552.620056100001</v>
      </c>
      <c r="G9" s="78">
        <v>14111.571695000001</v>
      </c>
      <c r="H9" s="319">
        <f>('Nat Gas'!H9/SF!H9)*1000</f>
        <v>214.36369801634768</v>
      </c>
      <c r="I9" s="319">
        <f>('Nat Gas'!I9/SF!I9)*1000</f>
        <v>206.47846431419458</v>
      </c>
      <c r="J9" s="319">
        <f>('Nat Gas'!J9/SF!J9)*1000</f>
        <v>155.46684328648328</v>
      </c>
      <c r="K9" s="319">
        <f>('Nat Gas'!K9/SF!K9)*1000</f>
        <v>196.51212631246679</v>
      </c>
      <c r="L9" s="319">
        <f>('Nat Gas'!L9/SF!L9)*1000</f>
        <v>252.8110837320574</v>
      </c>
      <c r="M9" s="319">
        <f>('Nat Gas'!M9/SF!M9)*1000</f>
        <v>218.80290965576822</v>
      </c>
      <c r="N9" s="319">
        <f>('Nat Gas'!N9/SF!N9)*1000</f>
        <v>156.63977884104202</v>
      </c>
      <c r="O9" s="319">
        <f>('Nat Gas'!O9/SF!O9)*1000</f>
        <v>266.4337073032961</v>
      </c>
      <c r="P9" s="319">
        <f>('Nat Gas'!P9/SF!P9)*1000</f>
        <v>282.44281130382768</v>
      </c>
      <c r="Q9" s="319">
        <f>('Nat Gas'!Q9/SF!Q9)*1000</f>
        <v>302.84122713981924</v>
      </c>
      <c r="R9" s="319">
        <f>('Nat Gas'!R9/SF!R9)*1000</f>
        <v>298.1898387825625</v>
      </c>
      <c r="S9" s="319">
        <f>('Nat Gas'!S9/SF!S9)*1000</f>
        <v>269.2542215410686</v>
      </c>
      <c r="T9" s="319">
        <f>('Nat Gas'!T9/SF!T9)*1000</f>
        <v>327.08831738436999</v>
      </c>
      <c r="U9" s="319" t="e">
        <f>('Nat Gas'!#REF!/SF!U9)*1000</f>
        <v>#REF!</v>
      </c>
      <c r="V9" s="319" t="e">
        <f>('Nat Gas'!#REF!/SF!V9)*1000</f>
        <v>#REF!</v>
      </c>
      <c r="W9" s="413">
        <f>('Nat Gas'!U9/SF!U9)*1000</f>
        <v>219.37466772993088</v>
      </c>
    </row>
    <row r="10" spans="2:23" ht="17" thickBot="1">
      <c r="B10" s="188" t="s">
        <v>15</v>
      </c>
      <c r="C10" s="73">
        <v>15868.224007999999</v>
      </c>
      <c r="D10" s="78">
        <v>10499.5081001</v>
      </c>
      <c r="E10" s="78">
        <v>14652.888534600001</v>
      </c>
      <c r="F10" s="78">
        <v>16552.620056100001</v>
      </c>
      <c r="G10" s="78">
        <v>14111.571695000001</v>
      </c>
      <c r="H10" s="319">
        <f>('Nat Gas'!H10/SF!H10)*1000</f>
        <v>211.55200208224028</v>
      </c>
      <c r="I10" s="319">
        <f>('Nat Gas'!I10/SF!I10)*1000</f>
        <v>203.7701948452256</v>
      </c>
      <c r="J10" s="319">
        <f>('Nat Gas'!J10/SF!J10)*1000</f>
        <v>153.42766643330273</v>
      </c>
      <c r="K10" s="319">
        <f>('Nat Gas'!K10/SF!K10)*1000</f>
        <v>193.93458005967994</v>
      </c>
      <c r="L10" s="319">
        <f>('Nat Gas'!L10/SF!L10)*1000</f>
        <v>249.49509365162646</v>
      </c>
      <c r="M10" s="319">
        <f>('Nat Gas'!M10/SF!M10)*1000</f>
        <v>572.04290647953837</v>
      </c>
      <c r="N10" s="319">
        <f>('Nat Gas'!N10/SF!N10)*1000</f>
        <v>665.31366956322131</v>
      </c>
      <c r="O10" s="319">
        <f>('Nat Gas'!O10/SF!O10)*1000</f>
        <v>503.5657207502623</v>
      </c>
      <c r="P10" s="319">
        <f>('Nat Gas'!P10/SF!P10)*1000</f>
        <v>549.86739706195124</v>
      </c>
      <c r="Q10" s="319">
        <f>('Nat Gas'!Q10/SF!Q10)*1000</f>
        <v>550.57166323337276</v>
      </c>
      <c r="R10" s="319">
        <f>('Nat Gas'!R10/SF!R10)*1000</f>
        <v>479.25725617537148</v>
      </c>
      <c r="S10" s="319">
        <f>('Nat Gas'!S10/SF!S10)*1000</f>
        <v>510.66881244493055</v>
      </c>
      <c r="T10" s="319">
        <f>('Nat Gas'!T10/SF!T10)*1000</f>
        <v>535.86424816941633</v>
      </c>
      <c r="U10" s="319" t="e">
        <f>('Nat Gas'!#REF!/SF!U10)*1000</f>
        <v>#REF!</v>
      </c>
      <c r="V10" s="319" t="e">
        <f>('Nat Gas'!#REF!/SF!V10)*1000</f>
        <v>#REF!</v>
      </c>
      <c r="W10" s="413">
        <f>('Nat Gas'!U10/SF!U10)*1000</f>
        <v>514.17676905781912</v>
      </c>
    </row>
    <row r="11" spans="2:23" ht="17" thickBot="1">
      <c r="B11" s="188" t="s">
        <v>17</v>
      </c>
      <c r="C11" s="78">
        <v>36376.348841999999</v>
      </c>
      <c r="D11" s="78">
        <v>29910.133901000001</v>
      </c>
      <c r="E11" s="78">
        <v>29510.600627299998</v>
      </c>
      <c r="F11" s="78">
        <v>31753.572598899998</v>
      </c>
      <c r="G11" s="78">
        <v>30727.161136999999</v>
      </c>
      <c r="H11" s="319">
        <f>('Nat Gas'!H11/SF!H11)*1000</f>
        <v>581.33183600753728</v>
      </c>
      <c r="I11" s="319">
        <f>('Nat Gas'!I11/SF!I11)*1000</f>
        <v>530.09171510687304</v>
      </c>
      <c r="J11" s="319">
        <f>('Nat Gas'!J11/SF!J11)*1000</f>
        <v>431.1152530881821</v>
      </c>
      <c r="K11" s="319">
        <f>('Nat Gas'!K11/SF!K11)*1000</f>
        <v>530.94421011058455</v>
      </c>
      <c r="L11" s="319">
        <f>('Nat Gas'!L11/SF!L11)*1000</f>
        <v>643.07726648775201</v>
      </c>
      <c r="M11" s="319">
        <f>('Nat Gas'!M11/SF!M11)*1000</f>
        <v>522.61377519556902</v>
      </c>
      <c r="N11" s="319">
        <f>('Nat Gas'!N11/SF!N11)*1000</f>
        <v>460.75839724775881</v>
      </c>
      <c r="O11" s="319">
        <f>('Nat Gas'!O11/SF!O11)*1000</f>
        <v>538.90433498924608</v>
      </c>
      <c r="P11" s="319">
        <f>('Nat Gas'!P11/SF!P11)*1000</f>
        <v>572.96791040902951</v>
      </c>
      <c r="Q11" s="319">
        <f>('Nat Gas'!Q11/SF!Q11)*1000</f>
        <v>527.44038250217568</v>
      </c>
      <c r="R11" s="319">
        <f>('Nat Gas'!R11/SF!R11)*1000</f>
        <v>475.84371628433962</v>
      </c>
      <c r="S11" s="319">
        <f>('Nat Gas'!S11/SF!S11)*1000</f>
        <v>465.4140506014877</v>
      </c>
      <c r="T11" s="319">
        <f>('Nat Gas'!T11/SF!T11)*1000</f>
        <v>495.97037718189131</v>
      </c>
      <c r="U11" s="319" t="e">
        <f>('Nat Gas'!#REF!/SF!U11)*1000</f>
        <v>#REF!</v>
      </c>
      <c r="V11" s="319" t="e">
        <f>('Nat Gas'!#REF!/SF!V11)*1000</f>
        <v>#REF!</v>
      </c>
      <c r="W11" s="413">
        <f>('Nat Gas'!U11/SF!U11)*1000</f>
        <v>469.86650027094043</v>
      </c>
    </row>
    <row r="12" spans="2:23" ht="17" thickBot="1">
      <c r="B12" s="188" t="s">
        <v>19</v>
      </c>
      <c r="C12" s="82">
        <f>AVERAGE(F12:I12)</f>
        <v>10488.949212417027</v>
      </c>
      <c r="D12" s="82">
        <f>AVERAGE(G12:J12)</f>
        <v>6118.5664761587368</v>
      </c>
      <c r="E12" s="82">
        <f>AVERAGE(H12:K12)</f>
        <v>421.65478279011091</v>
      </c>
      <c r="F12" s="78">
        <v>17812.716152699999</v>
      </c>
      <c r="G12" s="78">
        <v>23156.974675000001</v>
      </c>
      <c r="H12" s="319">
        <f>('Nat Gas'!H12/SF!H12)*1000</f>
        <v>475.48668700664371</v>
      </c>
      <c r="I12" s="319">
        <f>('Nat Gas'!I12/SF!I12)*1000</f>
        <v>510.61933496145753</v>
      </c>
      <c r="J12" s="319">
        <f>('Nat Gas'!J12/SF!J12)*1000</f>
        <v>331.18520766684412</v>
      </c>
      <c r="K12" s="319">
        <f>('Nat Gas'!K12/SF!K12)*1000</f>
        <v>369.32790152549825</v>
      </c>
      <c r="L12" s="319">
        <f>('Nat Gas'!L12/SF!L12)*1000</f>
        <v>494.54680654413295</v>
      </c>
      <c r="M12" s="319">
        <f>('Nat Gas'!M12/SF!M12)*1000</f>
        <v>426.75292511400727</v>
      </c>
      <c r="N12" s="319">
        <f>('Nat Gas'!N12/SF!N12)*1000</f>
        <v>440.25831997499944</v>
      </c>
      <c r="O12" s="319">
        <f>('Nat Gas'!O12/SF!O12)*1000</f>
        <v>509.02155117016599</v>
      </c>
      <c r="P12" s="319">
        <f>('Nat Gas'!P12/SF!P12)*1000</f>
        <v>547.4911664621867</v>
      </c>
      <c r="Q12" s="319">
        <f>('Nat Gas'!Q12/SF!Q12)*1000</f>
        <v>521.79958725896438</v>
      </c>
      <c r="R12" s="319">
        <f>('Nat Gas'!R12/SF!R12)*1000</f>
        <v>473.61452593810043</v>
      </c>
      <c r="S12" s="319">
        <f>('Nat Gas'!S12/SF!S12)*1000</f>
        <v>448.46103210722464</v>
      </c>
      <c r="T12" s="319">
        <f>('Nat Gas'!T12/SF!T12)*1000</f>
        <v>780.07824255191099</v>
      </c>
      <c r="U12" s="319" t="e">
        <f>('Nat Gas'!#REF!/SF!U12)*1000</f>
        <v>#REF!</v>
      </c>
      <c r="V12" s="319" t="e">
        <f>('Nat Gas'!#REF!/SF!V12)*1000</f>
        <v>#REF!</v>
      </c>
      <c r="W12" s="413">
        <f>('Nat Gas'!U12/SF!U12)*1000</f>
        <v>537.03094979050445</v>
      </c>
    </row>
    <row r="13" spans="2:23" ht="17" thickBot="1">
      <c r="B13" s="188" t="s">
        <v>21</v>
      </c>
      <c r="C13" s="78">
        <v>22235.645260000001</v>
      </c>
      <c r="D13" s="78">
        <v>16106.949925000001</v>
      </c>
      <c r="E13" s="78">
        <v>16458.874127999999</v>
      </c>
      <c r="F13" s="78">
        <v>19919.940526999999</v>
      </c>
      <c r="G13" s="78">
        <v>24531.671814000001</v>
      </c>
      <c r="H13" s="319">
        <f>('Nat Gas'!H13/SF!H13)*1000</f>
        <v>664.22299307980052</v>
      </c>
      <c r="I13" s="319">
        <f>('Nat Gas'!I13/SF!I13)*1000</f>
        <v>680.24708921446381</v>
      </c>
      <c r="J13" s="319">
        <f>('Nat Gas'!J13/SF!J13)*1000</f>
        <v>553.32259442019949</v>
      </c>
      <c r="K13" s="319">
        <f>('Nat Gas'!K13/SF!K13)*1000</f>
        <v>590.92152624688276</v>
      </c>
      <c r="L13" s="319">
        <f>('Nat Gas'!L13/SF!L13)*1000</f>
        <v>597.12315105985033</v>
      </c>
      <c r="M13" s="319">
        <f>('Nat Gas'!M13/SF!M13)*1000</f>
        <v>609.32908986907728</v>
      </c>
      <c r="N13" s="319">
        <f>('Nat Gas'!N13/SF!N13)*1000</f>
        <v>558.7847366895262</v>
      </c>
      <c r="O13" s="319">
        <f>('Nat Gas'!O13/SF!O13)*1000</f>
        <v>560.66955081047388</v>
      </c>
      <c r="P13" s="319">
        <f>('Nat Gas'!P13/SF!P13)*1000</f>
        <v>838.03428335411479</v>
      </c>
      <c r="Q13" s="319">
        <f>('Nat Gas'!Q13/SF!Q13)*1000</f>
        <v>689.78882771197004</v>
      </c>
      <c r="R13" s="319">
        <f>('Nat Gas'!R13/SF!R13)*1000</f>
        <v>664.88513787406475</v>
      </c>
      <c r="S13" s="319">
        <f>('Nat Gas'!S13/SF!S13)*1000</f>
        <v>615.67036371571078</v>
      </c>
      <c r="T13" s="319">
        <f>('Nat Gas'!T13/SF!T13)*1000</f>
        <v>717.92082294264344</v>
      </c>
      <c r="U13" s="319" t="e">
        <f>('Nat Gas'!#REF!/SF!U13)*1000</f>
        <v>#REF!</v>
      </c>
      <c r="V13" s="319" t="e">
        <f>('Nat Gas'!#REF!/SF!V13)*1000</f>
        <v>#REF!</v>
      </c>
      <c r="W13" s="413">
        <f>('Nat Gas'!U13/SF!U13)*1000</f>
        <v>588.02680798004997</v>
      </c>
    </row>
    <row r="14" spans="2:23" ht="17" thickBot="1">
      <c r="B14" s="188" t="s">
        <v>23</v>
      </c>
      <c r="C14" s="78">
        <v>32954.065970000003</v>
      </c>
      <c r="D14" s="78">
        <v>27366.341971999998</v>
      </c>
      <c r="E14" s="78">
        <v>31742.835739999999</v>
      </c>
      <c r="F14" s="78">
        <v>37319.754931000003</v>
      </c>
      <c r="G14" s="78">
        <v>34419.529882000003</v>
      </c>
      <c r="H14" s="319">
        <f>('Nat Gas'!H14/SF!H14)*1000</f>
        <v>636.86491704364346</v>
      </c>
      <c r="I14" s="319">
        <f>('Nat Gas'!I14/SF!I14)*1000</f>
        <v>677.27562857188866</v>
      </c>
      <c r="J14" s="319">
        <f>('Nat Gas'!J14/SF!J14)*1000</f>
        <v>435.85970831173427</v>
      </c>
      <c r="K14" s="319">
        <f>('Nat Gas'!K14/SF!K14)*1000</f>
        <v>501.17913203470874</v>
      </c>
      <c r="L14" s="319">
        <f>('Nat Gas'!L14/SF!L14)*1000</f>
        <v>647.43172328348123</v>
      </c>
      <c r="M14" s="319">
        <f>('Nat Gas'!M14/SF!M14)*1000</f>
        <v>629.91432733390218</v>
      </c>
      <c r="N14" s="319">
        <f>('Nat Gas'!N14/SF!N14)*1000</f>
        <v>485.23471957757135</v>
      </c>
      <c r="O14" s="319">
        <f>('Nat Gas'!O14/SF!O14)*1000</f>
        <v>561.70306122317561</v>
      </c>
      <c r="P14" s="319">
        <f>('Nat Gas'!P14/SF!P14)*1000</f>
        <v>764.34891380781437</v>
      </c>
      <c r="Q14" s="319">
        <f>('Nat Gas'!Q14/SF!Q14)*1000</f>
        <v>721.97981254728984</v>
      </c>
      <c r="R14" s="319">
        <f>('Nat Gas'!R14/SF!R14)*1000</f>
        <v>608.95385036302469</v>
      </c>
      <c r="S14" s="319">
        <f>('Nat Gas'!S14/SF!S14)*1000</f>
        <v>553.42296997601306</v>
      </c>
      <c r="T14" s="319">
        <f>('Nat Gas'!T14/SF!T14)*1000</f>
        <v>928.86971360497125</v>
      </c>
      <c r="U14" s="319" t="e">
        <f>('Nat Gas'!#REF!/SF!U14)*1000</f>
        <v>#REF!</v>
      </c>
      <c r="V14" s="319" t="e">
        <f>('Nat Gas'!#REF!/SF!V14)*1000</f>
        <v>#REF!</v>
      </c>
      <c r="W14" s="413">
        <f>('Nat Gas'!U14/SF!U14)*1000</f>
        <v>590.22489817602263</v>
      </c>
    </row>
    <row r="15" spans="2:23" ht="17" thickBot="1">
      <c r="B15" s="188" t="s">
        <v>25</v>
      </c>
      <c r="C15" s="82"/>
      <c r="D15" s="78">
        <v>25643.316248800002</v>
      </c>
      <c r="E15" s="78">
        <v>30582.7721155</v>
      </c>
      <c r="F15" s="78">
        <v>29897.047770000001</v>
      </c>
      <c r="G15" s="78">
        <v>31472.388438000002</v>
      </c>
      <c r="H15" s="319">
        <f>('Nat Gas'!H15/SF!H15)*1000</f>
        <v>495.45953453956434</v>
      </c>
      <c r="I15" s="319">
        <f>('Nat Gas'!I15/SF!I15)*1000</f>
        <v>509.17503432588916</v>
      </c>
      <c r="J15" s="319">
        <f>('Nat Gas'!J15/SF!J15)*1000</f>
        <v>397.43533664185276</v>
      </c>
      <c r="K15" s="319">
        <f>('Nat Gas'!K15/SF!K15)*1000</f>
        <v>432.75213406396466</v>
      </c>
      <c r="L15" s="319">
        <f>('Nat Gas'!L15/SF!L15)*1000</f>
        <v>518.59380427264273</v>
      </c>
      <c r="M15" s="319">
        <f>('Nat Gas'!M15/SF!M15)*1000</f>
        <v>559.42084281775567</v>
      </c>
      <c r="N15" s="319">
        <f>('Nat Gas'!N15/SF!N15)*1000</f>
        <v>471.05327042373176</v>
      </c>
      <c r="O15" s="319">
        <f>('Nat Gas'!O15/SF!O15)*1000</f>
        <v>453.55522426936864</v>
      </c>
      <c r="P15" s="319">
        <f>('Nat Gas'!P15/SF!P15)*1000</f>
        <v>868.82873366418539</v>
      </c>
      <c r="Q15" s="319">
        <f>('Nat Gas'!Q15/SF!Q15)*1000</f>
        <v>695.65794775279153</v>
      </c>
      <c r="R15" s="319">
        <f>('Nat Gas'!R15/SF!R15)*1000</f>
        <v>664.51038419837323</v>
      </c>
      <c r="S15" s="319">
        <f>('Nat Gas'!S15/SF!S15)*1000</f>
        <v>552.93114143920593</v>
      </c>
      <c r="T15" s="319">
        <f>('Nat Gas'!T15/SF!T15)*1000</f>
        <v>617.10952577888054</v>
      </c>
      <c r="U15" s="319" t="e">
        <f>('Nat Gas'!#REF!/SF!U15)*1000</f>
        <v>#REF!</v>
      </c>
      <c r="V15" s="319" t="e">
        <f>('Nat Gas'!#REF!/SF!V15)*1000</f>
        <v>#REF!</v>
      </c>
      <c r="W15" s="413">
        <f>('Nat Gas'!U15/SF!U15)*1000</f>
        <v>472.56341328921974</v>
      </c>
    </row>
    <row r="16" spans="2:23" ht="17" thickBot="1">
      <c r="B16" s="188" t="s">
        <v>27</v>
      </c>
      <c r="C16" s="78">
        <v>33802.339789899997</v>
      </c>
      <c r="D16" s="78">
        <v>25884.503594999998</v>
      </c>
      <c r="E16" s="78">
        <v>29612.855920000002</v>
      </c>
      <c r="F16" s="78">
        <v>28422.651153999999</v>
      </c>
      <c r="G16" s="78">
        <v>35606.199775000001</v>
      </c>
      <c r="H16" s="319">
        <f>('Nat Gas'!H16/SF!H16)*1000</f>
        <v>588.66519833333325</v>
      </c>
      <c r="I16" s="319">
        <f>('Nat Gas'!I16/SF!I16)*1000</f>
        <v>559.051567624521</v>
      </c>
      <c r="J16" s="319">
        <f>('Nat Gas'!J16/SF!J16)*1000</f>
        <v>531.23451858237547</v>
      </c>
      <c r="K16" s="319">
        <f>('Nat Gas'!K16/SF!K16)*1000</f>
        <v>488.96068781609199</v>
      </c>
      <c r="L16" s="319">
        <f>('Nat Gas'!L16/SF!L16)*1000</f>
        <v>666.64871486973175</v>
      </c>
      <c r="M16" s="319">
        <f>('Nat Gas'!M16/SF!M16)*1000</f>
        <v>579.21229917432947</v>
      </c>
      <c r="N16" s="319">
        <f>('Nat Gas'!N16/SF!N16)*1000</f>
        <v>594.19568314942524</v>
      </c>
      <c r="O16" s="319">
        <f>('Nat Gas'!O16/SF!O16)*1000</f>
        <v>797.6335816666666</v>
      </c>
      <c r="P16" s="319">
        <f>('Nat Gas'!P16/SF!P16)*1000</f>
        <v>687.7141822071045</v>
      </c>
      <c r="Q16" s="319">
        <f>('Nat Gas'!Q16/SF!Q16)*1000</f>
        <v>816.41057018620461</v>
      </c>
      <c r="R16" s="319">
        <f>('Nat Gas'!R16/SF!R16)*1000</f>
        <v>750.36111435284215</v>
      </c>
      <c r="S16" s="319">
        <f>('Nat Gas'!S16/SF!S16)*1000</f>
        <v>697.91677834274287</v>
      </c>
      <c r="T16" s="319">
        <f>('Nat Gas'!T16/SF!T16)*1000</f>
        <v>749.2267770102045</v>
      </c>
      <c r="U16" s="319" t="e">
        <f>('Nat Gas'!#REF!/SF!U16)*1000</f>
        <v>#REF!</v>
      </c>
      <c r="V16" s="319" t="e">
        <f>('Nat Gas'!#REF!/SF!V16)*1000</f>
        <v>#REF!</v>
      </c>
      <c r="W16" s="413">
        <f>('Nat Gas'!U16/SF!U16)*1000</f>
        <v>656.48911175789874</v>
      </c>
    </row>
    <row r="17" spans="2:23" ht="17" thickBot="1">
      <c r="B17" s="188" t="s">
        <v>29</v>
      </c>
      <c r="C17" s="78">
        <v>27115.660145000002</v>
      </c>
      <c r="D17" s="78">
        <v>19455.070899400002</v>
      </c>
      <c r="E17" s="78">
        <v>32611.9166286</v>
      </c>
      <c r="F17" s="78">
        <v>22112.878865899998</v>
      </c>
      <c r="G17" s="78">
        <v>23708.932350999999</v>
      </c>
      <c r="H17" s="319">
        <f>('Nat Gas'!H17/SF!H17)*1000</f>
        <v>511.78390531222828</v>
      </c>
      <c r="I17" s="319">
        <f>('Nat Gas'!I17/SF!I17)*1000</f>
        <v>566.47470455239841</v>
      </c>
      <c r="J17" s="319">
        <f>('Nat Gas'!J17/SF!J17)*1000</f>
        <v>434.88217515758305</v>
      </c>
      <c r="K17" s="319">
        <f>('Nat Gas'!K17/SF!K17)*1000</f>
        <v>422.09149573762016</v>
      </c>
      <c r="L17" s="319">
        <f>('Nat Gas'!L17/SF!L17)*1000</f>
        <v>498.28663792333543</v>
      </c>
      <c r="M17" s="319">
        <f>('Nat Gas'!M17/SF!M17)*1000</f>
        <v>541.69542729558862</v>
      </c>
      <c r="N17" s="319">
        <f>('Nat Gas'!N17/SF!N17)*1000</f>
        <v>491.76815074384825</v>
      </c>
      <c r="O17" s="319">
        <f>('Nat Gas'!O17/SF!O17)*1000</f>
        <v>491.68755422407105</v>
      </c>
      <c r="P17" s="319">
        <f>('Nat Gas'!P17/SF!P17)*1000</f>
        <v>513.4302711299913</v>
      </c>
      <c r="Q17" s="319">
        <f>('Nat Gas'!Q17/SF!Q17)*1000</f>
        <v>424.83954609979082</v>
      </c>
      <c r="R17" s="319">
        <f>('Nat Gas'!R17/SF!R17)*1000</f>
        <v>440.62522863052016</v>
      </c>
      <c r="S17" s="319">
        <f>('Nat Gas'!S17/SF!S17)*1000</f>
        <v>432.73238736515543</v>
      </c>
      <c r="T17" s="319">
        <f>('Nat Gas'!T17/SF!T17)*1000</f>
        <v>422.18148487626036</v>
      </c>
      <c r="U17" s="319" t="e">
        <f>('Nat Gas'!#REF!/SF!U17)*1000</f>
        <v>#REF!</v>
      </c>
      <c r="V17" s="319" t="e">
        <f>('Nat Gas'!#REF!/SF!V17)*1000</f>
        <v>#REF!</v>
      </c>
      <c r="W17" s="413">
        <f>('Nat Gas'!U17/SF!U17)*1000</f>
        <v>427.45693612070784</v>
      </c>
    </row>
    <row r="18" spans="2:23" ht="17" thickBot="1">
      <c r="B18" s="188" t="s">
        <v>31</v>
      </c>
      <c r="C18" s="82"/>
      <c r="D18" s="82"/>
      <c r="E18" s="71">
        <v>26335.824489300001</v>
      </c>
      <c r="F18" s="71">
        <v>29449.343841800001</v>
      </c>
      <c r="G18" s="71">
        <v>26117.360974899999</v>
      </c>
      <c r="H18" s="319">
        <f>('Nat Gas'!H18/SF!H18)*1000</f>
        <v>368.34882697724078</v>
      </c>
      <c r="I18" s="319">
        <f>('Nat Gas'!I18/SF!I18)*1000</f>
        <v>357.93361419393648</v>
      </c>
      <c r="J18" s="319">
        <f>('Nat Gas'!J18/SF!J18)*1000</f>
        <v>298.19295401735332</v>
      </c>
      <c r="K18" s="319">
        <f>('Nat Gas'!K18/SF!K18)*1000</f>
        <v>356.34946782287454</v>
      </c>
      <c r="L18" s="319">
        <f>('Nat Gas'!L18/SF!L18)*1000</f>
        <v>404.7445332949211</v>
      </c>
      <c r="M18" s="319">
        <f>('Nat Gas'!M18/SF!M18)*1000</f>
        <v>669.6193640919181</v>
      </c>
      <c r="N18" s="319">
        <f>('Nat Gas'!N18/SF!N18)*1000</f>
        <v>412.25750983409307</v>
      </c>
      <c r="O18" s="319">
        <f>('Nat Gas'!O18/SF!O18)*1000</f>
        <v>454.45676999576341</v>
      </c>
      <c r="P18" s="319">
        <f>('Nat Gas'!P18/SF!P18)*1000</f>
        <v>492.93574183260182</v>
      </c>
      <c r="Q18" s="319">
        <f>('Nat Gas'!Q18/SF!Q18)*1000</f>
        <v>584.86296353607077</v>
      </c>
      <c r="R18" s="319">
        <f>('Nat Gas'!R18/SF!R18)*1000</f>
        <v>669.2748146757275</v>
      </c>
      <c r="S18" s="319">
        <f>('Nat Gas'!S18/SF!S18)*1000</f>
        <v>520.13762461488921</v>
      </c>
      <c r="T18" s="319">
        <f>('Nat Gas'!T18/SF!T18)*1000</f>
        <v>543.15612872612655</v>
      </c>
      <c r="U18" s="319" t="e">
        <f>('Nat Gas'!#REF!/SF!U18)*1000</f>
        <v>#REF!</v>
      </c>
      <c r="V18" s="319" t="e">
        <f>('Nat Gas'!#REF!/SF!V18)*1000</f>
        <v>#REF!</v>
      </c>
      <c r="W18" s="413">
        <f>('Nat Gas'!U18/SF!U18)*1000</f>
        <v>432.60011184734532</v>
      </c>
    </row>
    <row r="19" spans="2:23" ht="17" thickBot="1">
      <c r="B19" s="188" t="s">
        <v>33</v>
      </c>
      <c r="C19" s="78">
        <v>10932.7889196</v>
      </c>
      <c r="D19" s="78">
        <v>7756.4843182000004</v>
      </c>
      <c r="E19" s="78">
        <v>25730.283267999999</v>
      </c>
      <c r="F19" s="78">
        <v>5956.3838859999996</v>
      </c>
      <c r="G19" s="78">
        <v>11052.895769000001</v>
      </c>
      <c r="H19" s="319">
        <f>('Nat Gas'!H19/SF!H19)*1000</f>
        <v>369.23189728197428</v>
      </c>
      <c r="I19" s="319">
        <f>('Nat Gas'!I19/SF!I19)*1000</f>
        <v>256.63308117392029</v>
      </c>
      <c r="J19" s="319">
        <f>('Nat Gas'!J19/SF!J19)*1000</f>
        <v>307.24041048524265</v>
      </c>
      <c r="K19" s="319">
        <f>('Nat Gas'!K19/SF!K19)*1000</f>
        <v>269.88530267883942</v>
      </c>
      <c r="L19" s="319">
        <f>('Nat Gas'!L19/SF!L19)*1000</f>
        <v>454.12165427380359</v>
      </c>
      <c r="M19" s="319">
        <f>('Nat Gas'!M19/SF!M19)*1000</f>
        <v>276.91185979656495</v>
      </c>
      <c r="N19" s="319">
        <f>('Nat Gas'!N19/SF!N19)*1000</f>
        <v>188.60357516758381</v>
      </c>
      <c r="O19" s="319">
        <f>('Nat Gas'!O19/SF!O19)*1000</f>
        <v>292.27654985826246</v>
      </c>
      <c r="P19" s="319">
        <f>('Nat Gas'!P19/SF!P19)*1000</f>
        <v>372.0593741203935</v>
      </c>
      <c r="Q19" s="319">
        <f>('Nat Gas'!Q19/SF!Q19)*1000</f>
        <v>375.73108866433216</v>
      </c>
      <c r="R19" s="319">
        <f>('Nat Gas'!R19/SF!R19)*1000</f>
        <v>252.89637024345507</v>
      </c>
      <c r="S19" s="319">
        <f>('Nat Gas'!S19/SF!S19)*1000</f>
        <v>255.31522866433221</v>
      </c>
      <c r="T19" s="319">
        <f>('Nat Gas'!T19/SF!T19)*1000</f>
        <v>321.28731032182753</v>
      </c>
      <c r="U19" s="319" t="e">
        <f>('Nat Gas'!#REF!/SF!U19)*1000</f>
        <v>#REF!</v>
      </c>
      <c r="V19" s="319" t="e">
        <f>('Nat Gas'!#REF!/SF!V19)*1000</f>
        <v>#REF!</v>
      </c>
      <c r="W19" s="413">
        <f>('Nat Gas'!U19/SF!U19)*1000</f>
        <v>281.03385025846256</v>
      </c>
    </row>
    <row r="20" spans="2:23" ht="17" thickBot="1">
      <c r="B20" s="188" t="s">
        <v>74</v>
      </c>
      <c r="C20" s="78">
        <v>41438.364370000003</v>
      </c>
      <c r="D20" s="78">
        <v>40902.609424000002</v>
      </c>
      <c r="E20" s="78">
        <v>39202.730229000001</v>
      </c>
      <c r="F20" s="78">
        <v>50312.264365000003</v>
      </c>
      <c r="G20" s="78">
        <v>59819.244203000002</v>
      </c>
      <c r="H20" s="319">
        <f>('Nat Gas'!H20/SF!H20)*1000</f>
        <v>479.8018463276581</v>
      </c>
      <c r="I20" s="319">
        <f>('Nat Gas'!I20/SF!I20)*1000</f>
        <v>572.93122576344717</v>
      </c>
      <c r="J20" s="319">
        <f>('Nat Gas'!J20/SF!J20)*1000</f>
        <v>508.27080679674174</v>
      </c>
      <c r="K20" s="319">
        <f>('Nat Gas'!K20/SF!K20)*1000</f>
        <v>531.51222406991064</v>
      </c>
      <c r="L20" s="319">
        <f>('Nat Gas'!L20/SF!L20)*1000</f>
        <v>613.16821888310187</v>
      </c>
      <c r="M20" s="319">
        <f>('Nat Gas'!M20/SF!M20)*1000</f>
        <v>634.63479174810493</v>
      </c>
      <c r="N20" s="319">
        <f>('Nat Gas'!N20/SF!N20)*1000</f>
        <v>488.1821027080768</v>
      </c>
      <c r="O20" s="319">
        <f>('Nat Gas'!O20/SF!O20)*1000</f>
        <v>462.7315307355982</v>
      </c>
      <c r="P20" s="319">
        <f>('Nat Gas'!P20/SF!P20)*1000</f>
        <v>607.55849337385473</v>
      </c>
      <c r="Q20" s="319">
        <f>('Nat Gas'!Q20/SF!Q20)*1000</f>
        <v>736.24718265113597</v>
      </c>
      <c r="R20" s="319">
        <f>('Nat Gas'!R20/SF!R20)*1000</f>
        <v>551.27453853106329</v>
      </c>
      <c r="S20" s="319">
        <f>('Nat Gas'!S20/SF!S20)*1000</f>
        <v>524.68112028741541</v>
      </c>
      <c r="T20" s="319">
        <f>('Nat Gas'!T20/SF!T20)*1000</f>
        <v>607.32095850327073</v>
      </c>
      <c r="U20" s="319" t="e">
        <f>('Nat Gas'!#REF!/SF!U20)*1000</f>
        <v>#REF!</v>
      </c>
      <c r="V20" s="319" t="e">
        <f>('Nat Gas'!#REF!/SF!V20)*1000</f>
        <v>#REF!</v>
      </c>
      <c r="W20" s="413">
        <f>('Nat Gas'!U20/SF!U20)*1000</f>
        <v>587.85037226170164</v>
      </c>
    </row>
    <row r="21" spans="2:23" ht="17" thickBot="1">
      <c r="B21" s="188" t="s">
        <v>36</v>
      </c>
      <c r="C21" s="83">
        <v>26357.37327</v>
      </c>
      <c r="D21" s="83">
        <v>20248.715385</v>
      </c>
      <c r="E21" s="83">
        <v>23215.996350099998</v>
      </c>
      <c r="F21" s="83">
        <v>27176.884966099999</v>
      </c>
      <c r="G21" s="83">
        <v>30401.557197400001</v>
      </c>
      <c r="H21" s="319">
        <f>('Nat Gas'!H21/SF!H21)*1000</f>
        <v>430.48566352306284</v>
      </c>
      <c r="I21" s="319">
        <f>('Nat Gas'!I21/SF!I21)*1000</f>
        <v>416.53335650225006</v>
      </c>
      <c r="J21" s="319">
        <f>('Nat Gas'!J21/SF!J21)*1000</f>
        <v>288.77946884756011</v>
      </c>
      <c r="K21" s="319">
        <f>('Nat Gas'!K21/SF!K21)*1000</f>
        <v>352.82354405850094</v>
      </c>
      <c r="L21" s="319">
        <f>('Nat Gas'!L21/SF!L21)*1000</f>
        <v>482.20697840317814</v>
      </c>
      <c r="M21" s="319">
        <f>('Nat Gas'!M21/SF!M21)*1000</f>
        <v>362.65089144870291</v>
      </c>
      <c r="N21" s="319">
        <f>('Nat Gas'!N21/SF!N21)*1000</f>
        <v>293.85590405679511</v>
      </c>
      <c r="O21" s="319">
        <f>('Nat Gas'!O21/SF!O21)*1000</f>
        <v>384.97258786118442</v>
      </c>
      <c r="P21" s="319">
        <f>('Nat Gas'!P21/SF!P21)*1000</f>
        <v>418.01501825916512</v>
      </c>
      <c r="Q21" s="319">
        <f>('Nat Gas'!Q21/SF!Q21)*1000</f>
        <v>395.51912979952516</v>
      </c>
      <c r="R21" s="319">
        <f>('Nat Gas'!R21/SF!R21)*1000</f>
        <v>350.23090440689157</v>
      </c>
      <c r="S21" s="319">
        <f>('Nat Gas'!S21/SF!S21)*1000</f>
        <v>345.43664635679187</v>
      </c>
      <c r="T21" s="319">
        <f>('Nat Gas'!T21/SF!T21)*1000</f>
        <v>419.53836192120662</v>
      </c>
      <c r="U21" s="319" t="e">
        <f>('Nat Gas'!#REF!/SF!U21)*1000</f>
        <v>#REF!</v>
      </c>
      <c r="V21" s="319" t="e">
        <f>('Nat Gas'!#REF!/SF!V21)*1000</f>
        <v>#REF!</v>
      </c>
      <c r="W21" s="413">
        <f>('Nat Gas'!U21/SF!U21)*1000</f>
        <v>326.46674199814635</v>
      </c>
    </row>
    <row r="22" spans="2:23" ht="17" thickBot="1">
      <c r="B22" s="188" t="s">
        <v>67</v>
      </c>
      <c r="C22" s="83">
        <v>42607.673790699999</v>
      </c>
      <c r="D22" s="83">
        <v>34021.311665000001</v>
      </c>
      <c r="E22" s="83">
        <v>36591.378233000003</v>
      </c>
      <c r="F22" s="83">
        <v>47132.2717405</v>
      </c>
      <c r="G22" s="83">
        <v>51203.201454000002</v>
      </c>
      <c r="H22" s="319">
        <f>('Nat Gas'!H22/SF!H22)*1000</f>
        <v>845.65023369162338</v>
      </c>
      <c r="I22" s="319">
        <f>('Nat Gas'!I22/SF!I22)*1000</f>
        <v>868.6292611481756</v>
      </c>
      <c r="J22" s="319">
        <f>('Nat Gas'!J22/SF!J22)*1000</f>
        <v>713.90529257062849</v>
      </c>
      <c r="K22" s="319">
        <f>('Nat Gas'!K22/SF!K22)*1000</f>
        <v>770.81917172391081</v>
      </c>
      <c r="L22" s="319">
        <f>('Nat Gas'!L22/SF!L22)*1000</f>
        <v>791.77556913572516</v>
      </c>
      <c r="M22" s="319">
        <f>('Nat Gas'!M22/SF!M22)*1000</f>
        <v>462.83836060587061</v>
      </c>
      <c r="N22" s="319">
        <f>('Nat Gas'!N22/SF!N22)*1000</f>
        <v>385.43625453148519</v>
      </c>
      <c r="O22" s="319">
        <f>('Nat Gas'!O22/SF!O22)*1000</f>
        <v>775.76276480180638</v>
      </c>
      <c r="P22" s="319">
        <f>('Nat Gas'!P22/SF!P22)*1000</f>
        <v>833.43426953712992</v>
      </c>
      <c r="Q22" s="319">
        <f>('Nat Gas'!Q22/SF!Q22)*1000</f>
        <v>824.15892505017564</v>
      </c>
      <c r="R22" s="319">
        <f>('Nat Gas'!R22/SF!R22)*1000</f>
        <v>662.54403070120429</v>
      </c>
      <c r="S22" s="319">
        <f>('Nat Gas'!S22/SF!S22)*1000</f>
        <v>803.16210635662321</v>
      </c>
      <c r="T22" s="319">
        <f>('Nat Gas'!T22/SF!T22)*1000</f>
        <v>782.1719769192174</v>
      </c>
      <c r="U22" s="319" t="e">
        <f>('Nat Gas'!#REF!/SF!U22)*1000</f>
        <v>#REF!</v>
      </c>
      <c r="V22" s="319" t="e">
        <f>('Nat Gas'!#REF!/SF!V22)*1000</f>
        <v>#REF!</v>
      </c>
      <c r="W22" s="413">
        <f>('Nat Gas'!U22/SF!U22)*1000</f>
        <v>497.44685500613087</v>
      </c>
    </row>
    <row r="23" spans="2:23" ht="17" thickBot="1">
      <c r="B23" s="188" t="s">
        <v>39</v>
      </c>
      <c r="C23" s="83">
        <v>24265.77248</v>
      </c>
      <c r="D23" s="83">
        <v>27312.000304000001</v>
      </c>
      <c r="E23" s="83">
        <v>27225.040879</v>
      </c>
      <c r="F23" s="83">
        <v>29110.445275999999</v>
      </c>
      <c r="G23" s="83">
        <v>28463.616307</v>
      </c>
      <c r="H23" s="319">
        <f>('Nat Gas'!H23/SF!H23)*1000</f>
        <v>429.85593288104087</v>
      </c>
      <c r="I23" s="319">
        <f>('Nat Gas'!I23/SF!I23)*1000</f>
        <v>524.2145382156134</v>
      </c>
      <c r="J23" s="319">
        <f>('Nat Gas'!J23/SF!J23)*1000</f>
        <v>458.0832837918216</v>
      </c>
      <c r="K23" s="319">
        <f>('Nat Gas'!K23/SF!K23)*1000</f>
        <v>468.90042527881042</v>
      </c>
      <c r="L23" s="319">
        <f>('Nat Gas'!L23/SF!L23)*1000</f>
        <v>587.791865148699</v>
      </c>
      <c r="M23" s="319">
        <f>('Nat Gas'!M23/SF!M23)*1000</f>
        <v>458.50125617100366</v>
      </c>
      <c r="N23" s="319">
        <f>('Nat Gas'!N23/SF!N23)*1000</f>
        <v>387.82702230483267</v>
      </c>
      <c r="O23" s="319">
        <f>('Nat Gas'!O23/SF!O23)*1000</f>
        <v>405.02858371747215</v>
      </c>
      <c r="P23" s="319">
        <f>('Nat Gas'!P23/SF!P23)*1000</f>
        <v>457.51313762081787</v>
      </c>
      <c r="Q23" s="319">
        <f>('Nat Gas'!Q23/SF!Q23)*1000</f>
        <v>483.68193302973975</v>
      </c>
      <c r="R23" s="319">
        <f>('Nat Gas'!R23/SF!R23)*1000</f>
        <v>421.30113366171008</v>
      </c>
      <c r="S23" s="319">
        <f>('Nat Gas'!S23/SF!S23)*1000</f>
        <v>539.93264014869885</v>
      </c>
      <c r="T23" s="319">
        <f>('Nat Gas'!T23/SF!T23)*1000</f>
        <v>661.83271375464676</v>
      </c>
      <c r="U23" s="319" t="e">
        <f>('Nat Gas'!#REF!/SF!U23)*1000</f>
        <v>#REF!</v>
      </c>
      <c r="V23" s="319" t="e">
        <f>('Nat Gas'!#REF!/SF!V23)*1000</f>
        <v>#REF!</v>
      </c>
      <c r="W23" s="413">
        <f>('Nat Gas'!U23/SF!U23)*1000</f>
        <v>587.07249070631974</v>
      </c>
    </row>
    <row r="24" spans="2:23" ht="17" thickBot="1">
      <c r="B24" s="188" t="s">
        <v>41</v>
      </c>
      <c r="C24" s="83">
        <v>32076.397067999998</v>
      </c>
      <c r="D24" s="83">
        <v>29721.626858</v>
      </c>
      <c r="E24" s="83">
        <v>28264.888778</v>
      </c>
      <c r="F24" s="83">
        <v>29371.789300199998</v>
      </c>
      <c r="G24" s="83">
        <v>26528.464816</v>
      </c>
      <c r="H24" s="319">
        <f>('Nat Gas'!H24/SF!H24)*1000</f>
        <v>727.28814229780687</v>
      </c>
      <c r="I24" s="319">
        <f>('Nat Gas'!I24/SF!I24)*1000</f>
        <v>531.80727741346584</v>
      </c>
      <c r="J24" s="319">
        <f>('Nat Gas'!J24/SF!J24)*1000</f>
        <v>341.83233573562973</v>
      </c>
      <c r="K24" s="319">
        <f>('Nat Gas'!K24/SF!K24)*1000</f>
        <v>380.13263015541304</v>
      </c>
      <c r="L24" s="319">
        <f>('Nat Gas'!L24/SF!L24)*1000</f>
        <v>526.68738099012751</v>
      </c>
      <c r="M24" s="319">
        <f>('Nat Gas'!M24/SF!M24)*1000</f>
        <v>728.59625990247662</v>
      </c>
      <c r="N24" s="319">
        <f>('Nat Gas'!N24/SF!N24)*1000</f>
        <v>406.08467934952324</v>
      </c>
      <c r="O24" s="319">
        <f>('Nat Gas'!O24/SF!O24)*1000</f>
        <v>515.2880484398645</v>
      </c>
      <c r="P24" s="319">
        <f>('Nat Gas'!P24/SF!P24)*1000</f>
        <v>615.49231701856786</v>
      </c>
      <c r="Q24" s="319">
        <f>('Nat Gas'!Q24/SF!Q24)*1000</f>
        <v>568.49059129014438</v>
      </c>
      <c r="R24" s="319">
        <f>('Nat Gas'!R24/SF!R24)*1000</f>
        <v>535.03339773245898</v>
      </c>
      <c r="S24" s="319">
        <f>('Nat Gas'!S24/SF!S24)*1000</f>
        <v>609.19401335543216</v>
      </c>
      <c r="T24" s="319">
        <f>('Nat Gas'!T24/SF!T24)*1000</f>
        <v>809.62984314573271</v>
      </c>
      <c r="U24" s="319" t="e">
        <f>('Nat Gas'!#REF!/SF!U24)*1000</f>
        <v>#REF!</v>
      </c>
      <c r="V24" s="319" t="e">
        <f>('Nat Gas'!#REF!/SF!V24)*1000</f>
        <v>#REF!</v>
      </c>
      <c r="W24" s="413">
        <f>('Nat Gas'!U24/SF!U24)*1000</f>
        <v>582.63553601883211</v>
      </c>
    </row>
    <row r="25" spans="2:23" ht="16">
      <c r="B25" s="188" t="s">
        <v>44</v>
      </c>
      <c r="C25" s="78">
        <v>22718.333640000001</v>
      </c>
      <c r="D25" s="78">
        <v>17898.64788</v>
      </c>
      <c r="E25" s="78">
        <v>24041.182843999999</v>
      </c>
      <c r="F25" s="78">
        <v>32948.501787000001</v>
      </c>
      <c r="G25" s="78">
        <v>36239.388079279997</v>
      </c>
      <c r="H25" s="319">
        <f>('Nat Gas'!H25/SF!H25)*1000</f>
        <v>471.10208799794765</v>
      </c>
      <c r="I25" s="319">
        <f>('Nat Gas'!I25/SF!I25)*1000</f>
        <v>523.61254693860099</v>
      </c>
      <c r="J25" s="319">
        <f>('Nat Gas'!J25/SF!J25)*1000</f>
        <v>315.02656921498209</v>
      </c>
      <c r="K25" s="319">
        <f>('Nat Gas'!K25/SF!K25)*1000</f>
        <v>342.6296868137506</v>
      </c>
      <c r="L25" s="319">
        <f>('Nat Gas'!L25/SF!L25)*1000</f>
        <v>400.50413515306997</v>
      </c>
      <c r="M25" s="319">
        <f>('Nat Gas'!M25/SF!M25)*1000</f>
        <v>286.99660172738157</v>
      </c>
      <c r="N25" s="319">
        <f>('Nat Gas'!N25/SF!N25)*1000</f>
        <v>247.23892290234309</v>
      </c>
      <c r="O25" s="319">
        <f>('Nat Gas'!O25/SF!O25)*1000</f>
        <v>308.89145002052334</v>
      </c>
      <c r="P25" s="319">
        <f>('Nat Gas'!P25/SF!P25)*1000</f>
        <v>429.35311800834069</v>
      </c>
      <c r="Q25" s="319">
        <f>('Nat Gas'!Q25/SF!Q25)*1000</f>
        <v>394.53254469543788</v>
      </c>
      <c r="R25" s="319">
        <f>('Nat Gas'!R25/SF!R25)*1000</f>
        <v>365.94394349488186</v>
      </c>
      <c r="S25" s="319">
        <f>('Nat Gas'!S25/SF!S25)*1000</f>
        <v>401.76583768798179</v>
      </c>
      <c r="T25" s="319">
        <f>('Nat Gas'!T25/SF!T25)*1000</f>
        <v>465.47137621635289</v>
      </c>
      <c r="U25" s="319" t="e">
        <f>('Nat Gas'!#REF!/SF!U25)*1000</f>
        <v>#REF!</v>
      </c>
      <c r="V25" s="319" t="e">
        <f>('Nat Gas'!#REF!/SF!V25)*1000</f>
        <v>#REF!</v>
      </c>
      <c r="W25" s="413">
        <f>('Nat Gas'!U25/SF!U25)*1000</f>
        <v>332.75938329331478</v>
      </c>
    </row>
    <row r="26" spans="2:23" ht="17" thickBot="1">
      <c r="B26" s="188" t="s">
        <v>46</v>
      </c>
      <c r="C26" s="77" t="s">
        <v>102</v>
      </c>
      <c r="D26" s="70"/>
      <c r="E26" s="70"/>
      <c r="F26" s="70"/>
      <c r="G26" s="70"/>
      <c r="H26" s="676" t="s">
        <v>97</v>
      </c>
      <c r="I26" s="677"/>
      <c r="J26" s="678"/>
      <c r="K26" s="70"/>
      <c r="L26" s="70"/>
      <c r="M26" s="70"/>
      <c r="N26" s="70"/>
      <c r="O26" s="70"/>
      <c r="P26" s="70"/>
      <c r="Q26" s="70"/>
      <c r="R26" s="70"/>
      <c r="S26" s="555"/>
      <c r="T26" s="70"/>
      <c r="U26" s="86"/>
      <c r="V26" s="86"/>
      <c r="W26" s="86"/>
    </row>
    <row r="27" spans="2:23" ht="17" thickBot="1">
      <c r="B27" s="188" t="s">
        <v>49</v>
      </c>
      <c r="C27" s="78">
        <v>121657.29509</v>
      </c>
      <c r="D27" s="78">
        <v>85301.747499999998</v>
      </c>
      <c r="E27" s="78">
        <v>98797.827409999998</v>
      </c>
      <c r="F27" s="78">
        <v>109995.04498000001</v>
      </c>
      <c r="G27" s="78">
        <v>127642.892324</v>
      </c>
      <c r="H27" s="319">
        <f>('Nat Gas'!H27/SF!H27)*1000</f>
        <v>799.82638282051289</v>
      </c>
      <c r="I27" s="319">
        <f>('Nat Gas'!I27/SF!I27)*1000</f>
        <v>645.07123346153844</v>
      </c>
      <c r="J27" s="319">
        <f>('Nat Gas'!J27/SF!J27)*1000</f>
        <v>548.82323450641024</v>
      </c>
      <c r="K27" s="319">
        <f>('Nat Gas'!K27/SF!K27)*1000</f>
        <v>681.86169776923077</v>
      </c>
      <c r="L27" s="319">
        <f>('Nat Gas'!L27/SF!L27)*1000</f>
        <v>607.33083019230776</v>
      </c>
      <c r="M27" s="319">
        <f>('Nat Gas'!M27/SF!M27)*1000</f>
        <v>403.47089852564102</v>
      </c>
      <c r="N27" s="319">
        <f>('Nat Gas'!N27/SF!N27)*1000</f>
        <v>504.06271929487178</v>
      </c>
      <c r="O27" s="319">
        <f>('Nat Gas'!O27/SF!O27)*1000</f>
        <v>427.8713689166666</v>
      </c>
      <c r="P27" s="319">
        <f>('Nat Gas'!P27/SF!P27)*1000</f>
        <v>415.29101967948719</v>
      </c>
      <c r="Q27" s="319">
        <f>('Nat Gas'!Q27/SF!Q27)*1000</f>
        <v>527.11032051282064</v>
      </c>
      <c r="R27" s="319">
        <f>('Nat Gas'!R27/SF!R27)*1000</f>
        <v>751.89158205128206</v>
      </c>
      <c r="S27" s="319">
        <f>('Nat Gas'!S27/SF!S27)*1000</f>
        <v>592.70902647435901</v>
      </c>
      <c r="T27" s="319">
        <f>('Nat Gas'!T27/SF!T27)*1000</f>
        <v>700.63076923076915</v>
      </c>
      <c r="U27" s="319" t="e">
        <f>('Nat Gas'!#REF!/SF!U27)*1000</f>
        <v>#REF!</v>
      </c>
      <c r="V27" s="319" t="e">
        <f>('Nat Gas'!#REF!/SF!V27)*1000</f>
        <v>#REF!</v>
      </c>
      <c r="W27" s="413">
        <f>('Nat Gas'!U27/SF!U27)*1000</f>
        <v>646.66989785256396</v>
      </c>
    </row>
    <row r="28" spans="2:23" ht="17" thickBot="1">
      <c r="B28" s="188" t="s">
        <v>51</v>
      </c>
      <c r="C28" s="78">
        <v>125164.690044</v>
      </c>
      <c r="D28" s="78">
        <v>97503.075899999996</v>
      </c>
      <c r="E28" s="78">
        <v>134490.85352500001</v>
      </c>
      <c r="F28" s="78">
        <v>123193.655011</v>
      </c>
      <c r="G28" s="78">
        <v>129957.0303688</v>
      </c>
      <c r="H28" s="319">
        <f>('Nat Gas'!H28/SF!H28)*1000</f>
        <v>565.41840437184089</v>
      </c>
      <c r="I28" s="319">
        <f>('Nat Gas'!I28/SF!I28)*1000</f>
        <v>584.72338492060101</v>
      </c>
      <c r="J28" s="319">
        <f>('Nat Gas'!J28/SF!J28)*1000</f>
        <v>477.07313476078048</v>
      </c>
      <c r="K28" s="319">
        <f>('Nat Gas'!K28/SF!K28)*1000</f>
        <v>512.81624899581493</v>
      </c>
      <c r="L28" s="319">
        <f>('Nat Gas'!L28/SF!L28)*1000</f>
        <v>549.3011705520845</v>
      </c>
      <c r="M28" s="319">
        <f>('Nat Gas'!M28/SF!M28)*1000</f>
        <v>467.30841777546686</v>
      </c>
      <c r="N28" s="319">
        <f>('Nat Gas'!N28/SF!N28)*1000</f>
        <v>469.56448714189514</v>
      </c>
      <c r="O28" s="319">
        <f>('Nat Gas'!O28/SF!O28)*1000</f>
        <v>535.45448616166175</v>
      </c>
      <c r="P28" s="319">
        <f>('Nat Gas'!P28/SF!P28)*1000</f>
        <v>585.91185381736977</v>
      </c>
      <c r="Q28" s="319">
        <f>('Nat Gas'!Q28/SF!Q28)*1000</f>
        <v>661.82670194816421</v>
      </c>
      <c r="R28" s="319">
        <f>('Nat Gas'!R28/SF!R28)*1000</f>
        <v>499.67468341838202</v>
      </c>
      <c r="S28" s="319">
        <f>('Nat Gas'!S28/SF!S28)*1000</f>
        <v>462.92891299516867</v>
      </c>
      <c r="T28" s="319">
        <f>('Nat Gas'!T28/SF!T28)*1000</f>
        <v>562.13507930106425</v>
      </c>
      <c r="U28" s="319" t="e">
        <f>('Nat Gas'!#REF!/SF!U28)*1000</f>
        <v>#REF!</v>
      </c>
      <c r="V28" s="319" t="e">
        <f>('Nat Gas'!#REF!/SF!V28)*1000</f>
        <v>#REF!</v>
      </c>
      <c r="W28" s="413">
        <f>('Nat Gas'!U28/SF!U28)*1000</f>
        <v>512.53199614811638</v>
      </c>
    </row>
    <row r="29" spans="2:23" ht="17" thickBot="1">
      <c r="B29" s="188" t="s">
        <v>53</v>
      </c>
      <c r="C29" s="78">
        <v>98155.086769999994</v>
      </c>
      <c r="D29" s="78">
        <v>77789.769950999995</v>
      </c>
      <c r="E29" s="78">
        <v>87303.823920039998</v>
      </c>
      <c r="F29" s="78">
        <v>109670.25810200001</v>
      </c>
      <c r="G29" s="78">
        <v>109126.28381199999</v>
      </c>
      <c r="H29" s="319">
        <f>('Nat Gas'!H29/SF!H29)*1000</f>
        <v>586.02321673896211</v>
      </c>
      <c r="I29" s="319">
        <f>('Nat Gas'!I29/SF!I29)*1000</f>
        <v>603.05861843350249</v>
      </c>
      <c r="J29" s="319">
        <f>('Nat Gas'!J29/SF!J29)*1000</f>
        <v>460.05931923469188</v>
      </c>
      <c r="K29" s="319">
        <f>('Nat Gas'!K29/SF!K29)*1000</f>
        <v>513.37749282984555</v>
      </c>
      <c r="L29" s="319">
        <f>('Nat Gas'!L29/SF!L29)*1000</f>
        <v>552.85628929699305</v>
      </c>
      <c r="M29" s="319">
        <f>('Nat Gas'!M29/SF!M29)*1000</f>
        <v>518.42196400791363</v>
      </c>
      <c r="N29" s="319">
        <f>('Nat Gas'!N29/SF!N29)*1000</f>
        <v>544.33684484326432</v>
      </c>
      <c r="O29" s="319">
        <f>('Nat Gas'!O29/SF!O29)*1000</f>
        <v>629.64341525454972</v>
      </c>
      <c r="P29" s="319">
        <f>('Nat Gas'!P29/SF!P29)*1000</f>
        <v>564.83619878592765</v>
      </c>
      <c r="Q29" s="319">
        <f>('Nat Gas'!Q29/SF!Q29)*1000</f>
        <v>608.65667279027753</v>
      </c>
      <c r="R29" s="319">
        <f>('Nat Gas'!R29/SF!R29)*1000</f>
        <v>549.78766948475652</v>
      </c>
      <c r="S29" s="319">
        <f>('Nat Gas'!S29/SF!S29)*1000</f>
        <v>511.44582754764747</v>
      </c>
      <c r="T29" s="319">
        <f>('Nat Gas'!T29/SF!T29)*1000</f>
        <v>732.86228633922758</v>
      </c>
      <c r="U29" s="319" t="e">
        <f>('Nat Gas'!#REF!/SF!U29)*1000</f>
        <v>#REF!</v>
      </c>
      <c r="V29" s="319" t="e">
        <f>('Nat Gas'!#REF!/SF!V29)*1000</f>
        <v>#REF!</v>
      </c>
      <c r="W29" s="413">
        <f>('Nat Gas'!U29/SF!U29)*1000</f>
        <v>491.29566595804818</v>
      </c>
    </row>
    <row r="30" spans="2:23" ht="17" thickBot="1">
      <c r="B30" s="188" t="s">
        <v>55</v>
      </c>
      <c r="C30" s="78">
        <v>142026.84080000001</v>
      </c>
      <c r="D30" s="78">
        <v>98849.460619999998</v>
      </c>
      <c r="E30" s="78">
        <v>107521.101337</v>
      </c>
      <c r="F30" s="78">
        <v>116594.53432999999</v>
      </c>
      <c r="G30" s="78">
        <v>122159.89023200001</v>
      </c>
      <c r="H30" s="319">
        <f>('Nat Gas'!H30/SF!H30)*1000</f>
        <v>539.20849960545002</v>
      </c>
      <c r="I30" s="319">
        <f>('Nat Gas'!I30/SF!I30)*1000</f>
        <v>621.26492922299974</v>
      </c>
      <c r="J30" s="319">
        <f>('Nat Gas'!J30/SF!J30)*1000</f>
        <v>426.0915704929244</v>
      </c>
      <c r="K30" s="319">
        <f>('Nat Gas'!K30/SF!K30)*1000</f>
        <v>586.12232616129199</v>
      </c>
      <c r="L30" s="319">
        <f>('Nat Gas'!L30/SF!L30)*1000</f>
        <v>687.81036275448469</v>
      </c>
      <c r="M30" s="319">
        <f>('Nat Gas'!M30/SF!M30)*1000</f>
        <v>1169.1910783313169</v>
      </c>
      <c r="N30" s="319">
        <f>('Nat Gas'!N30/SF!N30)*1000</f>
        <v>645.12428326056079</v>
      </c>
      <c r="O30" s="319">
        <f>('Nat Gas'!O30/SF!O30)*1000</f>
        <v>611.79919962649274</v>
      </c>
      <c r="P30" s="319">
        <f>('Nat Gas'!P30/SF!P30)*1000</f>
        <v>604.50429175653642</v>
      </c>
      <c r="Q30" s="319">
        <f>('Nat Gas'!Q30/SF!Q30)*1000</f>
        <v>340.53466699984222</v>
      </c>
      <c r="R30" s="319">
        <f>('Nat Gas'!R30/SF!R30)*1000</f>
        <v>483.54444131727075</v>
      </c>
      <c r="S30" s="319">
        <f>('Nat Gas'!S30/SF!S30)*1000</f>
        <v>570.08571781787577</v>
      </c>
      <c r="T30" s="319">
        <f>('Nat Gas'!T30/SF!T30)*1000</f>
        <v>712.14740386132894</v>
      </c>
      <c r="U30" s="319" t="e">
        <f>('Nat Gas'!#REF!/SF!U30)*1000</f>
        <v>#REF!</v>
      </c>
      <c r="V30" s="319" t="e">
        <f>('Nat Gas'!#REF!/SF!V30)*1000</f>
        <v>#REF!</v>
      </c>
      <c r="W30" s="413">
        <f>('Nat Gas'!U30/SF!U30)*1000</f>
        <v>641.11656083960236</v>
      </c>
    </row>
    <row r="31" spans="2:23" ht="17" thickBot="1">
      <c r="B31" s="188" t="s">
        <v>57</v>
      </c>
      <c r="C31" s="78">
        <v>118871.85408</v>
      </c>
      <c r="D31" s="78">
        <v>92457.625209999998</v>
      </c>
      <c r="E31" s="78">
        <v>102516.34507</v>
      </c>
      <c r="F31" s="78">
        <v>102295.216596</v>
      </c>
      <c r="G31" s="78">
        <v>111983.064638</v>
      </c>
      <c r="H31" s="319">
        <f>('Nat Gas'!H31/SF!H31)*1000</f>
        <v>418.1594673106668</v>
      </c>
      <c r="I31" s="319">
        <f>('Nat Gas'!I31/SF!I31)*1000</f>
        <v>473.03457206101638</v>
      </c>
      <c r="J31" s="319">
        <f>('Nat Gas'!J31/SF!J31)*1000</f>
        <v>379.58511896713003</v>
      </c>
      <c r="K31" s="319">
        <f>('Nat Gas'!K31/SF!K31)*1000</f>
        <v>369.56093813153529</v>
      </c>
      <c r="L31" s="319">
        <f>('Nat Gas'!L31/SF!L31)*1000</f>
        <v>507.5142038695576</v>
      </c>
      <c r="M31" s="319">
        <f>('Nat Gas'!M31/SF!M31)*1000</f>
        <v>426.83369608969076</v>
      </c>
      <c r="N31" s="319">
        <f>('Nat Gas'!N31/SF!N31)*1000</f>
        <v>349.60166546572691</v>
      </c>
      <c r="O31" s="319">
        <f>('Nat Gas'!O31/SF!O31)*1000</f>
        <v>416.17616502579398</v>
      </c>
      <c r="P31" s="319">
        <f>('Nat Gas'!P31/SF!P31)*1000</f>
        <v>527.55633063507787</v>
      </c>
      <c r="Q31" s="319">
        <f>('Nat Gas'!Q31/SF!Q31)*1000</f>
        <v>440.16578889238775</v>
      </c>
      <c r="R31" s="319">
        <f>('Nat Gas'!R31/SF!R31)*1000</f>
        <v>417.79781250520978</v>
      </c>
      <c r="S31" s="319">
        <f>('Nat Gas'!S31/SF!S31)*1000</f>
        <v>406.99188524233352</v>
      </c>
      <c r="T31" s="319">
        <f>('Nat Gas'!T31/SF!T31)*1000</f>
        <v>444.71617378740586</v>
      </c>
      <c r="U31" s="319" t="e">
        <f>('Nat Gas'!#REF!/SF!U31)*1000</f>
        <v>#REF!</v>
      </c>
      <c r="V31" s="319" t="e">
        <f>('Nat Gas'!#REF!/SF!V31)*1000</f>
        <v>#REF!</v>
      </c>
      <c r="W31" s="413">
        <f>('Nat Gas'!U31/SF!U31)*1000</f>
        <v>439.89311944874083</v>
      </c>
    </row>
    <row r="32" spans="2:23" ht="17" thickBot="1">
      <c r="B32" s="188" t="s">
        <v>68</v>
      </c>
      <c r="C32" s="83">
        <v>40572.027065000002</v>
      </c>
      <c r="D32" s="83">
        <v>30494.902054999999</v>
      </c>
      <c r="E32" s="83">
        <v>34095.178420999997</v>
      </c>
      <c r="F32" s="83">
        <v>36995.109172999997</v>
      </c>
      <c r="G32" s="83">
        <v>35004.631496000002</v>
      </c>
      <c r="H32" s="319">
        <f>('Nat Gas'!H32/SF!H32)*1000</f>
        <v>795.64982224884113</v>
      </c>
      <c r="I32" s="319">
        <f>('Nat Gas'!I32/SF!I32)*1000</f>
        <v>851.22536347065261</v>
      </c>
      <c r="J32" s="319">
        <f>('Nat Gas'!J32/SF!J32)*1000</f>
        <v>646.83860723399823</v>
      </c>
      <c r="K32" s="319">
        <f>('Nat Gas'!K32/SF!K32)*1000</f>
        <v>687.19405124733089</v>
      </c>
      <c r="L32" s="319">
        <f>('Nat Gas'!L32/SF!L32)*1000</f>
        <v>748.20813710223422</v>
      </c>
      <c r="M32" s="319">
        <f>('Nat Gas'!M32/SF!M32)*1000</f>
        <v>731.38332834227378</v>
      </c>
      <c r="N32" s="319">
        <f>('Nat Gas'!N32/SF!N32)*1000</f>
        <v>634.89796627779799</v>
      </c>
      <c r="O32" s="319">
        <f>('Nat Gas'!O32/SF!O32)*1000</f>
        <v>587.47783581584292</v>
      </c>
      <c r="P32" s="319">
        <f>('Nat Gas'!P32/SF!P32)*1000</f>
        <v>758.3006815270038</v>
      </c>
      <c r="Q32" s="319">
        <f>('Nat Gas'!Q32/SF!Q32)*1000</f>
        <v>815.89561496797046</v>
      </c>
      <c r="R32" s="319">
        <f>('Nat Gas'!R32/SF!R32)*1000</f>
        <v>685.63705908546422</v>
      </c>
      <c r="S32" s="319">
        <f>('Nat Gas'!S32/SF!S32)*1000</f>
        <v>661.72860989010996</v>
      </c>
      <c r="T32" s="319">
        <f>('Nat Gas'!T32/SF!T32)*1000</f>
        <v>740.89370345294515</v>
      </c>
      <c r="U32" s="319" t="e">
        <f>('Nat Gas'!#REF!/SF!U32)*1000</f>
        <v>#REF!</v>
      </c>
      <c r="V32" s="319" t="e">
        <f>('Nat Gas'!#REF!/SF!V32)*1000</f>
        <v>#REF!</v>
      </c>
      <c r="W32" s="413">
        <f>('Nat Gas'!U32/SF!U32)*1000</f>
        <v>655.67939169834915</v>
      </c>
    </row>
    <row r="33" spans="2:25" ht="17" thickBot="1">
      <c r="B33" s="188" t="s">
        <v>59</v>
      </c>
      <c r="C33" s="82"/>
      <c r="D33" s="82"/>
      <c r="E33" s="82"/>
      <c r="F33" s="78">
        <v>203038.9471202</v>
      </c>
      <c r="G33" s="78">
        <v>257141.293301</v>
      </c>
      <c r="H33" s="319">
        <f>('Nat Gas'!H33/SF!H33)*1000</f>
        <v>537.94986928208459</v>
      </c>
      <c r="I33" s="319">
        <f>('Nat Gas'!I33/SF!I33)*1000</f>
        <v>490.89787187841659</v>
      </c>
      <c r="J33" s="319">
        <f>('Nat Gas'!J33/SF!J33)*1000</f>
        <v>482.23044838087105</v>
      </c>
      <c r="K33" s="319">
        <f>('Nat Gas'!K33/SF!K33)*1000</f>
        <v>593.39093308793224</v>
      </c>
      <c r="L33" s="319">
        <f>('Nat Gas'!L33/SF!L33)*1000</f>
        <v>581.91040872806877</v>
      </c>
      <c r="M33" s="319">
        <f>('Nat Gas'!M33/SF!M33)*1000</f>
        <v>556.88242648727623</v>
      </c>
      <c r="N33" s="319">
        <f>('Nat Gas'!N33/SF!N33)*1000</f>
        <v>369.28818802278943</v>
      </c>
      <c r="O33" s="319">
        <f>('Nat Gas'!O33/SF!O33)*1000</f>
        <v>444.9611741815508</v>
      </c>
      <c r="P33" s="319">
        <f>('Nat Gas'!P33/SF!P33)*1000</f>
        <v>419.67143417187617</v>
      </c>
      <c r="Q33" s="319">
        <f>('Nat Gas'!Q33/SF!Q33)*1000</f>
        <v>384.7866710083739</v>
      </c>
      <c r="R33" s="319">
        <f>('Nat Gas'!R33/SF!R33)*1000</f>
        <v>414.76664671571399</v>
      </c>
      <c r="S33" s="319">
        <f>('Nat Gas'!S33/SF!S33)*1000</f>
        <v>392.65578617231057</v>
      </c>
      <c r="T33" s="319">
        <f>('Nat Gas'!T33/SF!T33)*1000</f>
        <v>437.57055384304033</v>
      </c>
      <c r="U33" s="319" t="e">
        <f>('Nat Gas'!#REF!/SF!U33)*1000</f>
        <v>#REF!</v>
      </c>
      <c r="V33" s="319" t="e">
        <f>('Nat Gas'!#REF!/SF!V33)*1000</f>
        <v>#REF!</v>
      </c>
      <c r="W33" s="413">
        <f>('Nat Gas'!U33/SF!U33)*1000</f>
        <v>367.40714781076395</v>
      </c>
    </row>
    <row r="34" spans="2:25" ht="17" thickBot="1">
      <c r="B34" s="188" t="s">
        <v>61</v>
      </c>
      <c r="C34" s="82"/>
      <c r="D34" s="83">
        <v>268296.54488549998</v>
      </c>
      <c r="E34" s="83">
        <v>283521.54470099998</v>
      </c>
      <c r="F34" s="83">
        <v>287216.431285</v>
      </c>
      <c r="G34" s="83">
        <v>328141.10189200001</v>
      </c>
      <c r="H34" s="319">
        <f>('Nat Gas'!H34/SF!H34)*1000</f>
        <v>684.03712598469951</v>
      </c>
      <c r="I34" s="319">
        <f>('Nat Gas'!I34/SF!I34)*1000</f>
        <v>747.17981414754922</v>
      </c>
      <c r="J34" s="319">
        <f>('Nat Gas'!J34/SF!J34)*1000</f>
        <v>592.47270188711411</v>
      </c>
      <c r="K34" s="319">
        <f>('Nat Gas'!K34/SF!K34)*1000</f>
        <v>806.43168083283092</v>
      </c>
      <c r="L34" s="319">
        <f>('Nat Gas'!L34/SF!L34)*1000</f>
        <v>862.84726810611528</v>
      </c>
      <c r="M34" s="319">
        <f>('Nat Gas'!M34/SF!M34)*1000</f>
        <v>638.42966526889586</v>
      </c>
      <c r="N34" s="319">
        <f>('Nat Gas'!N34/SF!N34)*1000</f>
        <v>580.70067382107868</v>
      </c>
      <c r="O34" s="319">
        <f>('Nat Gas'!O34/SF!O34)*1000</f>
        <v>612.18084377254797</v>
      </c>
      <c r="P34" s="319">
        <f>('Nat Gas'!P34/SF!P34)*1000</f>
        <v>693.82667558044147</v>
      </c>
      <c r="Q34" s="319">
        <f>('Nat Gas'!Q34/SF!Q34)*1000</f>
        <v>695.17002035342921</v>
      </c>
      <c r="R34" s="319">
        <f>('Nat Gas'!R34/SF!R34)*1000</f>
        <v>646.28250984575925</v>
      </c>
      <c r="S34" s="319">
        <f>('Nat Gas'!S34/SF!S34)*1000</f>
        <v>639.06067619695978</v>
      </c>
      <c r="T34" s="319">
        <f>('Nat Gas'!T34/SF!T34)*1000</f>
        <v>688.62913030156267</v>
      </c>
      <c r="U34" s="319" t="e">
        <f>('Nat Gas'!#REF!/SF!U34)*1000</f>
        <v>#REF!</v>
      </c>
      <c r="V34" s="319" t="e">
        <f>('Nat Gas'!#REF!/SF!V34)*1000</f>
        <v>#REF!</v>
      </c>
      <c r="W34" s="413">
        <f>('Nat Gas'!U34/SF!U34)*1000</f>
        <v>741.90223676277276</v>
      </c>
    </row>
    <row r="35" spans="2:25" ht="17" thickBot="1">
      <c r="B35" s="188" t="s">
        <v>95</v>
      </c>
      <c r="C35" s="78">
        <v>55853.164644999997</v>
      </c>
      <c r="D35" s="78">
        <v>48245.640605000001</v>
      </c>
      <c r="E35" s="78">
        <v>47958.201624000001</v>
      </c>
      <c r="F35" s="78">
        <v>58915.712360899997</v>
      </c>
      <c r="G35" s="78">
        <v>65965.185425000003</v>
      </c>
      <c r="H35" s="319">
        <f>('Nat Gas'!H35/SF!H35)*1000</f>
        <v>887.13683501030937</v>
      </c>
      <c r="I35" s="319">
        <f>('Nat Gas'!I35/SF!I35)*1000</f>
        <v>895.02595960481096</v>
      </c>
      <c r="J35" s="319">
        <f>('Nat Gas'!J35/SF!J35)*1000</f>
        <v>510.40430663745707</v>
      </c>
      <c r="K35" s="319">
        <f>('Nat Gas'!K35/SF!K35)*1000</f>
        <v>533.28729472508599</v>
      </c>
      <c r="L35" s="319">
        <f>('Nat Gas'!L35/SF!L35)*1000</f>
        <v>574.85514019759455</v>
      </c>
      <c r="M35" s="319">
        <f>('Nat Gas'!M35/SF!M35)*1000</f>
        <v>428.49890914089349</v>
      </c>
      <c r="N35" s="319">
        <f>('Nat Gas'!N35/SF!N35)*1000</f>
        <v>494.68584872542954</v>
      </c>
      <c r="O35" s="319">
        <f>('Nat Gas'!O35/SF!O35)*1000</f>
        <v>485.46091428092785</v>
      </c>
      <c r="P35" s="319">
        <f>('Nat Gas'!P35/SF!P35)*1000</f>
        <v>603.55948776804121</v>
      </c>
      <c r="Q35" s="319">
        <f>('Nat Gas'!Q35/SF!Q35)*1000</f>
        <v>676.4408195874571</v>
      </c>
      <c r="R35" s="319">
        <f>('Nat Gas'!R35/SF!R35)*1000</f>
        <v>573.47011615120277</v>
      </c>
      <c r="S35" s="319">
        <f>('Nat Gas'!S35/SF!S35)*1000</f>
        <v>542.9625034570447</v>
      </c>
      <c r="T35" s="319">
        <f>('Nat Gas'!T35/SF!T35)*1000</f>
        <v>477.15292096219929</v>
      </c>
      <c r="U35" s="319" t="e">
        <f>('Nat Gas'!#REF!/SF!U35)*1000</f>
        <v>#REF!</v>
      </c>
      <c r="V35" s="319" t="e">
        <f>('Nat Gas'!#REF!/SF!V35)*1000</f>
        <v>#REF!</v>
      </c>
      <c r="W35" s="413">
        <f>('Nat Gas'!U35/SF!U35)*1000</f>
        <v>419.61855670103091</v>
      </c>
    </row>
    <row r="36" spans="2:25" ht="17" thickBot="1">
      <c r="B36" s="188" t="s">
        <v>65</v>
      </c>
      <c r="C36" s="70" t="s">
        <v>98</v>
      </c>
      <c r="D36" s="70"/>
      <c r="E36" s="70"/>
      <c r="F36" s="70"/>
      <c r="G36" s="71"/>
      <c r="H36" s="319">
        <f>('Nat Gas'!H36/SF!H36)*1000</f>
        <v>71.158023643854918</v>
      </c>
      <c r="I36" s="319">
        <f>('Nat Gas'!I36/SF!I36)*1000</f>
        <v>76.625327645284358</v>
      </c>
      <c r="J36" s="319">
        <f>('Nat Gas'!J36/SF!J36)*1000</f>
        <v>66.735597245141435</v>
      </c>
      <c r="K36" s="319">
        <f>('Nat Gas'!K36/SF!K36)*1000</f>
        <v>97.140193659936315</v>
      </c>
      <c r="L36" s="319">
        <f>('Nat Gas'!L36/SF!L36)*1000</f>
        <v>89.473534727404584</v>
      </c>
      <c r="M36" s="319">
        <f>('Nat Gas'!M36/SF!M36)*1000</f>
        <v>81.49425783836621</v>
      </c>
      <c r="N36" s="319">
        <f>('Nat Gas'!N36/SF!N36)*1000</f>
        <v>81.276985947173145</v>
      </c>
      <c r="O36" s="319">
        <f>('Nat Gas'!O36/SF!O36)*1000</f>
        <v>84.040708238298947</v>
      </c>
      <c r="P36" s="319">
        <f>('Nat Gas'!P36/SF!P36)*1000</f>
        <v>77.853469718628133</v>
      </c>
      <c r="Q36" s="319">
        <f>('Nat Gas'!Q36/SF!Q36)*1000</f>
        <v>89.410832658895742</v>
      </c>
      <c r="R36" s="319">
        <f>('Nat Gas'!R36/SF!R36)*1000</f>
        <v>97.326428379983383</v>
      </c>
      <c r="S36" s="319">
        <f>('Nat Gas'!S36/SF!S36)*1000</f>
        <v>100.78652896753239</v>
      </c>
      <c r="T36" s="319">
        <f>('Nat Gas'!T36/SF!T36)*1000</f>
        <v>150.94911762541912</v>
      </c>
      <c r="U36" s="319" t="e">
        <f>('Nat Gas'!#REF!/SF!U36)*1000</f>
        <v>#REF!</v>
      </c>
      <c r="V36" s="319" t="e">
        <f>('Nat Gas'!#REF!/SF!V36)*1000</f>
        <v>#REF!</v>
      </c>
      <c r="W36" s="413">
        <f>('Nat Gas'!U36/SF!U36)*1000</f>
        <v>119.0674893053468</v>
      </c>
    </row>
    <row r="37" spans="2:25" ht="17" thickBot="1">
      <c r="B37" s="188" t="s">
        <v>5</v>
      </c>
      <c r="C37" s="78">
        <v>20859.633543</v>
      </c>
      <c r="D37" s="78">
        <v>17270.184745999999</v>
      </c>
      <c r="E37" s="78">
        <v>20010.838710399999</v>
      </c>
      <c r="F37" s="78">
        <v>18225.6523012</v>
      </c>
      <c r="G37" s="78">
        <v>19112.9597808</v>
      </c>
      <c r="H37" s="319">
        <f>('Nat Gas'!H37/SF!H37)*1000</f>
        <v>344.98392905793992</v>
      </c>
      <c r="I37" s="319">
        <f>('Nat Gas'!I37/SF!I37)*1000</f>
        <v>419.98656943133045</v>
      </c>
      <c r="J37" s="319">
        <f>('Nat Gas'!J37/SF!J37)*1000</f>
        <v>221.39758204399143</v>
      </c>
      <c r="K37" s="319">
        <f>('Nat Gas'!K37/SF!K37)*1000</f>
        <v>377.89635604442054</v>
      </c>
      <c r="L37" s="319">
        <f>('Nat Gas'!L37/SF!L37)*1000</f>
        <v>481.59826844206009</v>
      </c>
      <c r="M37" s="319">
        <f>('Nat Gas'!M37/SF!M37)*1000</f>
        <v>447.06194327038628</v>
      </c>
      <c r="N37" s="319">
        <f>('Nat Gas'!N37/SF!N37)*1000</f>
        <v>375.0137692201717</v>
      </c>
      <c r="O37" s="319">
        <f>('Nat Gas'!O37/SF!O37)*1000</f>
        <v>418.15235448068665</v>
      </c>
      <c r="P37" s="319">
        <f>('Nat Gas'!P37/SF!P37)*1000</f>
        <v>462.5769218124463</v>
      </c>
      <c r="Q37" s="319">
        <f>('Nat Gas'!Q37/SF!Q37)*1000</f>
        <v>529.30512824248922</v>
      </c>
      <c r="R37" s="319">
        <f>('Nat Gas'!R37/SF!R37)*1000</f>
        <v>444.66971298497862</v>
      </c>
      <c r="S37" s="319">
        <f>('Nat Gas'!S37/SF!S37)*1000</f>
        <v>403.13730257510724</v>
      </c>
      <c r="T37" s="319">
        <f>('Nat Gas'!T37/SF!T37)*1000</f>
        <v>449.45493562231758</v>
      </c>
      <c r="U37" s="319" t="e">
        <f>('Nat Gas'!#REF!/SF!U37)*1000</f>
        <v>#REF!</v>
      </c>
      <c r="V37" s="319" t="e">
        <f>('Nat Gas'!#REF!/SF!V37)*1000</f>
        <v>#REF!</v>
      </c>
      <c r="W37" s="413">
        <f>('Nat Gas'!U37/SF!U37)*1000</f>
        <v>347.56008583690982</v>
      </c>
    </row>
    <row r="38" spans="2:25" ht="17" thickBot="1">
      <c r="B38" s="317" t="s">
        <v>48</v>
      </c>
      <c r="C38" s="89">
        <v>18129.440607500001</v>
      </c>
      <c r="D38" s="89">
        <v>13016.550653599999</v>
      </c>
      <c r="E38" s="89">
        <v>14956.3264762</v>
      </c>
      <c r="F38" s="89">
        <v>16973.324908099999</v>
      </c>
      <c r="G38" s="89">
        <v>17819.888159999999</v>
      </c>
      <c r="H38" s="319">
        <f>('Nat Gas'!H38/SF!H38)*1000</f>
        <v>851.49394532087035</v>
      </c>
      <c r="I38" s="319">
        <f>('Nat Gas'!I38/SF!I38)*1000</f>
        <v>901.85277023614299</v>
      </c>
      <c r="J38" s="319">
        <f>('Nat Gas'!J38/SF!J38)*1000</f>
        <v>667.83169487263581</v>
      </c>
      <c r="K38" s="319">
        <f>('Nat Gas'!K38/SF!K38)*1000</f>
        <v>842.85636275828142</v>
      </c>
      <c r="L38" s="319">
        <f>('Nat Gas'!L38/SF!L38)*1000</f>
        <v>1095.2712196403193</v>
      </c>
      <c r="M38" s="319">
        <f>('Nat Gas'!M38/SF!M38)*1000</f>
        <v>878.34361490106039</v>
      </c>
      <c r="N38" s="319">
        <f>('Nat Gas'!N38/SF!N38)*1000</f>
        <v>619.35361774352248</v>
      </c>
      <c r="O38" s="319">
        <f>('Nat Gas'!O38/SF!O38)*1000</f>
        <v>618.12947869793379</v>
      </c>
      <c r="P38" s="319">
        <f>('Nat Gas'!P38/SF!P38)*1000</f>
        <v>705.17930358587523</v>
      </c>
      <c r="Q38" s="319">
        <f>('Nat Gas'!Q38/SF!Q38)*1000</f>
        <v>801.64882693779384</v>
      </c>
      <c r="R38" s="319">
        <f>('Nat Gas'!R38/SF!R38)*1000</f>
        <v>669.25221384060342</v>
      </c>
      <c r="S38" s="319">
        <f>('Nat Gas'!S38/SF!S38)*1000</f>
        <v>633.12561495572322</v>
      </c>
      <c r="T38" s="319">
        <f>('Nat Gas'!T38/SF!T38)*1000</f>
        <v>693.99803214168571</v>
      </c>
      <c r="U38" s="319" t="e">
        <f>('Nat Gas'!#REF!/SF!U38)*1000</f>
        <v>#REF!</v>
      </c>
      <c r="V38" s="319" t="e">
        <f>('Nat Gas'!#REF!/SF!V38)*1000</f>
        <v>#REF!</v>
      </c>
      <c r="W38" s="413">
        <f>('Nat Gas'!U38/SF!U38)*1000</f>
        <v>663.56182354870452</v>
      </c>
    </row>
    <row r="39" spans="2:25" ht="17" thickBot="1">
      <c r="B39" s="254" t="s">
        <v>103</v>
      </c>
      <c r="C39" s="255">
        <v>6845</v>
      </c>
      <c r="D39" s="255">
        <v>6191</v>
      </c>
      <c r="E39" s="255">
        <v>6530</v>
      </c>
      <c r="F39" s="255">
        <v>6571</v>
      </c>
      <c r="G39" s="255">
        <v>6868</v>
      </c>
      <c r="H39" s="260">
        <v>6254</v>
      </c>
      <c r="I39" s="260">
        <v>6861</v>
      </c>
      <c r="J39" s="260">
        <v>5466</v>
      </c>
      <c r="K39" s="260">
        <v>6532</v>
      </c>
      <c r="L39" s="260">
        <v>7487</v>
      </c>
      <c r="M39" s="260">
        <v>7136</v>
      </c>
      <c r="N39" s="260">
        <v>5814</v>
      </c>
      <c r="O39" s="260">
        <v>5832</v>
      </c>
      <c r="P39" s="260">
        <v>6701</v>
      </c>
      <c r="Q39" s="260">
        <v>6808</v>
      </c>
      <c r="R39" s="260">
        <v>6307</v>
      </c>
      <c r="S39" s="260">
        <v>6287</v>
      </c>
      <c r="T39" s="261">
        <v>6374</v>
      </c>
      <c r="U39" s="261">
        <v>6375</v>
      </c>
      <c r="V39" s="261">
        <v>6376</v>
      </c>
      <c r="W39" s="261">
        <v>6101</v>
      </c>
      <c r="Y39" t="s">
        <v>135</v>
      </c>
    </row>
    <row r="40" spans="2:25">
      <c r="B40" s="19"/>
      <c r="C40" s="56"/>
      <c r="D40" s="56"/>
      <c r="E40" s="56"/>
      <c r="F40" s="56"/>
      <c r="G40" s="56"/>
      <c r="H40" s="56"/>
      <c r="I40" s="56"/>
      <c r="J40" s="56"/>
      <c r="K40" s="56"/>
      <c r="L40" s="56"/>
      <c r="M40" s="56"/>
      <c r="N40" s="56"/>
      <c r="O40" s="56"/>
      <c r="P40" s="56"/>
      <c r="Q40" s="56"/>
      <c r="R40" s="56"/>
      <c r="S40" s="56"/>
      <c r="T40" s="56"/>
      <c r="U40" s="21"/>
    </row>
    <row r="41" spans="2:25">
      <c r="B41" s="19"/>
      <c r="C41" s="56"/>
      <c r="D41" s="56"/>
      <c r="E41" s="56"/>
      <c r="F41" s="56"/>
      <c r="G41" s="56"/>
      <c r="H41" s="56"/>
      <c r="I41" s="56"/>
      <c r="J41" s="56"/>
      <c r="K41" s="56"/>
      <c r="L41" s="56"/>
      <c r="M41" s="56"/>
      <c r="N41" s="56"/>
      <c r="O41" s="56"/>
      <c r="P41" s="56"/>
      <c r="Q41" s="56"/>
      <c r="R41" s="56"/>
      <c r="S41" s="56"/>
      <c r="T41" s="56"/>
      <c r="U41" s="21"/>
    </row>
    <row r="42" spans="2:25">
      <c r="C42" s="280"/>
      <c r="D42" s="280"/>
      <c r="E42" s="280"/>
      <c r="F42" s="280"/>
      <c r="G42" s="280"/>
      <c r="H42" s="280"/>
      <c r="I42" s="280"/>
      <c r="J42" s="280"/>
      <c r="K42" s="280"/>
      <c r="L42" s="280"/>
      <c r="M42" s="280"/>
      <c r="N42" s="280"/>
      <c r="O42" s="280"/>
      <c r="P42" s="280"/>
      <c r="Q42" s="280"/>
      <c r="R42" s="280"/>
      <c r="S42" s="280"/>
      <c r="T42" s="280"/>
    </row>
    <row r="43" spans="2:25">
      <c r="B43" s="19"/>
      <c r="C43" s="281"/>
      <c r="D43" s="281"/>
      <c r="E43" s="281"/>
      <c r="F43" s="281"/>
      <c r="G43" s="281"/>
      <c r="H43" s="281"/>
      <c r="I43" s="281"/>
      <c r="J43" s="281"/>
      <c r="K43" s="281"/>
      <c r="L43" s="281"/>
      <c r="M43" s="281"/>
      <c r="N43" s="281"/>
      <c r="O43" s="281"/>
      <c r="P43" s="281"/>
      <c r="Q43" s="281"/>
      <c r="R43" s="281"/>
      <c r="S43" s="281"/>
      <c r="T43" s="281"/>
    </row>
    <row r="44" spans="2:25">
      <c r="B44" s="19"/>
      <c r="C44" s="281"/>
      <c r="D44" s="281"/>
      <c r="E44" s="281"/>
      <c r="F44" s="281"/>
      <c r="G44" s="281"/>
      <c r="H44" s="281"/>
      <c r="I44" s="281"/>
      <c r="J44" s="281"/>
      <c r="K44" s="281"/>
      <c r="L44" s="281"/>
      <c r="M44" s="281"/>
      <c r="N44" s="281"/>
      <c r="O44" s="281"/>
      <c r="P44" s="281"/>
      <c r="Q44" s="281"/>
      <c r="R44" s="281"/>
      <c r="S44" s="281"/>
      <c r="T44" s="281"/>
    </row>
    <row r="45" spans="2:25">
      <c r="B45" s="19"/>
      <c r="C45" s="30"/>
      <c r="D45" s="30"/>
      <c r="E45" s="30"/>
      <c r="F45" s="30"/>
      <c r="G45" s="30"/>
      <c r="H45" s="30"/>
      <c r="I45" s="30"/>
      <c r="J45" s="30"/>
      <c r="K45" s="30"/>
      <c r="L45" s="30"/>
      <c r="M45" s="30"/>
      <c r="N45" s="30"/>
      <c r="O45" s="30"/>
      <c r="P45" s="30"/>
      <c r="Q45" s="30"/>
      <c r="R45" s="30"/>
      <c r="S45" s="30"/>
      <c r="T45" s="30"/>
    </row>
    <row r="46" spans="2:25">
      <c r="B46" s="19"/>
      <c r="C46" s="282"/>
      <c r="D46" s="282"/>
      <c r="E46" s="282"/>
      <c r="F46" s="282"/>
      <c r="G46" s="282"/>
      <c r="H46" s="282"/>
      <c r="I46" s="282"/>
      <c r="J46" s="282"/>
      <c r="K46" s="282"/>
      <c r="L46" s="282"/>
      <c r="M46" s="282"/>
      <c r="N46" s="282"/>
      <c r="O46" s="282"/>
      <c r="P46" s="282"/>
      <c r="Q46" s="282"/>
      <c r="R46" s="282"/>
      <c r="S46" s="282"/>
      <c r="T46" s="282"/>
    </row>
    <row r="51" spans="8:20">
      <c r="H51" s="281"/>
      <c r="I51" s="281"/>
      <c r="J51" s="281"/>
      <c r="K51" s="281"/>
      <c r="L51" s="281"/>
      <c r="M51" s="281"/>
      <c r="N51" s="281"/>
      <c r="O51" s="281"/>
      <c r="P51" s="281"/>
      <c r="Q51" s="281"/>
      <c r="R51" s="281"/>
      <c r="S51" s="281"/>
      <c r="T51" s="281"/>
    </row>
  </sheetData>
  <mergeCells count="2">
    <mergeCell ref="B2:I2"/>
    <mergeCell ref="H26:J26"/>
  </mergeCells>
  <conditionalFormatting sqref="H39:W39">
    <cfRule type="colorScale" priority="2">
      <colorScale>
        <cfvo type="min"/>
        <cfvo type="percentile" val="50"/>
        <cfvo type="max"/>
        <color rgb="FF63BE7B"/>
        <color rgb="FFFFEB84"/>
        <color rgb="FFF8696B"/>
      </colorScale>
    </cfRule>
  </conditionalFormatting>
  <conditionalFormatting sqref="H4:W25 H27:W38">
    <cfRule type="colorScale" priority="1">
      <colorScale>
        <cfvo type="min"/>
        <cfvo type="percentile" val="50"/>
        <cfvo type="max"/>
        <color rgb="FF63BE7B"/>
        <color rgb="FFFFEB84"/>
        <color rgb="FFF8696B"/>
      </colorScale>
    </cfRule>
  </conditionalFormatting>
  <pageMargins left="0.7" right="0.7" top="0.75" bottom="0.75" header="0.3" footer="0.3"/>
  <pageSetup scale="49"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24</vt:i4>
      </vt:variant>
      <vt:variant>
        <vt:lpstr>Named Ranges</vt:lpstr>
      </vt:variant>
      <vt:variant>
        <vt:i4>23</vt:i4>
      </vt:variant>
    </vt:vector>
  </HeadingPairs>
  <TitlesOfParts>
    <vt:vector size="47" baseType="lpstr">
      <vt:lpstr>Introduction</vt:lpstr>
      <vt:lpstr>Scopes of Emissions</vt:lpstr>
      <vt:lpstr>Definitions</vt:lpstr>
      <vt:lpstr>Factors</vt:lpstr>
      <vt:lpstr>GHGI-Scope 1</vt:lpstr>
      <vt:lpstr>GHGI-Scope 2,3 and TOTAL</vt:lpstr>
      <vt:lpstr>Nat Gas</vt:lpstr>
      <vt:lpstr>Nat Gas per student</vt:lpstr>
      <vt:lpstr>Nat Gas per SF</vt:lpstr>
      <vt:lpstr>Electricity_Grid</vt:lpstr>
      <vt:lpstr>Electricity per student</vt:lpstr>
      <vt:lpstr>Electricity per SF</vt:lpstr>
      <vt:lpstr>Electricity_Solar</vt:lpstr>
      <vt:lpstr>Water</vt:lpstr>
      <vt:lpstr>Water per student</vt:lpstr>
      <vt:lpstr>Water per SF</vt:lpstr>
      <vt:lpstr>Total MT CO2eq</vt:lpstr>
      <vt:lpstr>MT CO2eq per student</vt:lpstr>
      <vt:lpstr>MTCO2eq per SF</vt:lpstr>
      <vt:lpstr>Transportation</vt:lpstr>
      <vt:lpstr>Site Sequestration</vt:lpstr>
      <vt:lpstr>Waste</vt:lpstr>
      <vt:lpstr>Enrollment</vt:lpstr>
      <vt:lpstr>SF</vt:lpstr>
      <vt:lpstr>Definitions!Print_Area</vt:lpstr>
      <vt:lpstr>'Electricity per SF'!Print_Area</vt:lpstr>
      <vt:lpstr>'Electricity per student'!Print_Area</vt:lpstr>
      <vt:lpstr>Electricity_Grid!Print_Area</vt:lpstr>
      <vt:lpstr>Electricity_Solar!Print_Area</vt:lpstr>
      <vt:lpstr>Enrollment!Print_Area</vt:lpstr>
      <vt:lpstr>Factors!Print_Area</vt:lpstr>
      <vt:lpstr>'GHGI-Scope 1'!Print_Area</vt:lpstr>
      <vt:lpstr>'GHGI-Scope 2,3 and TOTAL'!Print_Area</vt:lpstr>
      <vt:lpstr>'MT CO2eq per student'!Print_Area</vt:lpstr>
      <vt:lpstr>'MTCO2eq per SF'!Print_Area</vt:lpstr>
      <vt:lpstr>'Nat Gas'!Print_Area</vt:lpstr>
      <vt:lpstr>'Nat Gas per SF'!Print_Area</vt:lpstr>
      <vt:lpstr>'Nat Gas per student'!Print_Area</vt:lpstr>
      <vt:lpstr>'Scopes of Emissions'!Print_Area</vt:lpstr>
      <vt:lpstr>SF!Print_Area</vt:lpstr>
      <vt:lpstr>'Site Sequestration'!Print_Area</vt:lpstr>
      <vt:lpstr>'Total MT CO2eq'!Print_Area</vt:lpstr>
      <vt:lpstr>Transportation!Print_Area</vt:lpstr>
      <vt:lpstr>Waste!Print_Area</vt:lpstr>
      <vt:lpstr>Water!Print_Area</vt:lpstr>
      <vt:lpstr>'Water per SF'!Print_Area</vt:lpstr>
      <vt:lpstr>'Water per student'!Print_Area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Marios Demetriou</dc:creator>
  <cp:lastModifiedBy>Microsoft Office User</cp:lastModifiedBy>
  <cp:lastPrinted>2023-06-19T15:29:35Z</cp:lastPrinted>
  <dcterms:created xsi:type="dcterms:W3CDTF">2018-06-08T19:47:00Z</dcterms:created>
  <dcterms:modified xsi:type="dcterms:W3CDTF">2023-12-06T19:41:10Z</dcterms:modified>
</cp:coreProperties>
</file>